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rhartofelis\Box\Resilience Program\Sea Level Rise\01 SLR Adaptation Funding and Investment Framework\Final Report and Materials\"/>
    </mc:Choice>
  </mc:AlternateContent>
  <xr:revisionPtr revIDLastSave="0" documentId="13_ncr:1_{36F3E8BA-0221-4CC8-AB78-9F5D184C1B7B}" xr6:coauthVersionLast="47" xr6:coauthVersionMax="47" xr10:uidLastSave="{00000000-0000-0000-0000-000000000000}"/>
  <bookViews>
    <workbookView xWindow="1560" yWindow="1560" windowWidth="21600" windowHeight="11775" tabRatio="835" xr2:uid="{9541C6FE-60F1-4797-9E66-8397F7851620}"/>
  </bookViews>
  <sheets>
    <sheet name="READ ME" sheetId="15" r:id="rId1"/>
    <sheet name="Dashboard" sheetId="1" r:id="rId2"/>
    <sheet name="ProgrammedFundsSummary" sheetId="32" r:id="rId3"/>
    <sheet name="Population Share" sheetId="3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1" l="1"/>
  <c r="M28" i="1"/>
  <c r="T28" i="1"/>
  <c r="J28" i="1"/>
  <c r="P28" i="1" s="1"/>
  <c r="C7" i="31"/>
  <c r="D5" i="31" s="1"/>
  <c r="Q28" i="1" l="1"/>
  <c r="R28" i="1" s="1"/>
  <c r="S28" i="1"/>
  <c r="D6" i="31"/>
  <c r="T6" i="1" l="1"/>
  <c r="T15" i="1"/>
  <c r="P31" i="1"/>
  <c r="S31" i="1"/>
  <c r="S25" i="1"/>
  <c r="T7" i="1"/>
  <c r="T8" i="1"/>
  <c r="T9" i="1"/>
  <c r="T10" i="1"/>
  <c r="T11" i="1"/>
  <c r="T12" i="1"/>
  <c r="T13" i="1"/>
  <c r="T14" i="1"/>
  <c r="T16" i="1"/>
  <c r="T17" i="1"/>
  <c r="T18" i="1"/>
  <c r="T19" i="1"/>
  <c r="T20" i="1"/>
  <c r="T21" i="1"/>
  <c r="T22" i="1"/>
  <c r="T23" i="1"/>
  <c r="T24" i="1"/>
  <c r="T25" i="1"/>
  <c r="T26" i="1"/>
  <c r="T27" i="1"/>
  <c r="T29" i="1"/>
  <c r="T30" i="1"/>
  <c r="T31" i="1"/>
  <c r="T32" i="1"/>
  <c r="T33" i="1"/>
  <c r="T34" i="1"/>
  <c r="T35" i="1"/>
  <c r="T36" i="1"/>
  <c r="T37" i="1"/>
  <c r="T38" i="1"/>
  <c r="T39" i="1"/>
  <c r="T40" i="1"/>
  <c r="T41" i="1"/>
  <c r="T42" i="1"/>
  <c r="T43" i="1"/>
  <c r="T44" i="1"/>
  <c r="T45" i="1"/>
  <c r="T46" i="1"/>
  <c r="T48" i="1"/>
  <c r="T49" i="1"/>
  <c r="T50" i="1"/>
  <c r="T51" i="1"/>
  <c r="T52" i="1"/>
  <c r="T53" i="1"/>
  <c r="T54" i="1"/>
  <c r="T55" i="1"/>
  <c r="T56" i="1"/>
  <c r="T57" i="1"/>
  <c r="T58" i="1"/>
  <c r="T59" i="1"/>
  <c r="T60" i="1"/>
  <c r="T61" i="1"/>
  <c r="T62" i="1"/>
  <c r="T63" i="1"/>
  <c r="P25" i="1"/>
  <c r="K21" i="1"/>
  <c r="O27" i="1"/>
  <c r="O29" i="1"/>
  <c r="O30" i="1"/>
  <c r="O31" i="1"/>
  <c r="M27" i="1"/>
  <c r="M29" i="1"/>
  <c r="M30" i="1"/>
  <c r="M31" i="1"/>
  <c r="Q31" i="1" s="1"/>
  <c r="R31" i="1" s="1"/>
  <c r="O17" i="1"/>
  <c r="M17" i="1"/>
  <c r="I17" i="1"/>
  <c r="J17" i="1" s="1"/>
  <c r="S17" i="1" s="1"/>
  <c r="M22" i="1"/>
  <c r="O26" i="1"/>
  <c r="O25" i="1"/>
  <c r="M25" i="1"/>
  <c r="Q25" i="1" s="1"/>
  <c r="M26" i="1"/>
  <c r="R25" i="1" l="1"/>
  <c r="P17" i="1"/>
  <c r="Q17" i="1"/>
  <c r="J27" i="1"/>
  <c r="J29" i="1"/>
  <c r="J26" i="1"/>
  <c r="J30" i="1"/>
  <c r="J32" i="1"/>
  <c r="J33" i="1"/>
  <c r="S33" i="1" s="1"/>
  <c r="O22" i="1"/>
  <c r="J22" i="1"/>
  <c r="R17" i="1" l="1"/>
  <c r="S32" i="1"/>
  <c r="Q30" i="1"/>
  <c r="S30" i="1"/>
  <c r="P30" i="1"/>
  <c r="S29" i="1"/>
  <c r="Q29" i="1"/>
  <c r="P29" i="1"/>
  <c r="R29" i="1" s="1"/>
  <c r="S27" i="1"/>
  <c r="Q27" i="1"/>
  <c r="P26" i="1"/>
  <c r="S26" i="1"/>
  <c r="Q26" i="1"/>
  <c r="S22" i="1"/>
  <c r="Q22" i="1"/>
  <c r="P22" i="1"/>
  <c r="P27" i="1"/>
  <c r="R27" i="1" l="1"/>
  <c r="R26" i="1"/>
  <c r="R22" i="1"/>
  <c r="O18" i="1"/>
  <c r="M18" i="1"/>
  <c r="M43" i="1"/>
  <c r="J18" i="1" l="1"/>
  <c r="P18" i="1" l="1"/>
  <c r="S18" i="1"/>
  <c r="Q18" i="1"/>
  <c r="R18" i="1" l="1"/>
  <c r="M8" i="1" l="1"/>
  <c r="O8" i="1"/>
  <c r="I55" i="1"/>
  <c r="J55" i="1" s="1"/>
  <c r="S55" i="1" s="1"/>
  <c r="O55" i="1"/>
  <c r="M55" i="1"/>
  <c r="G66" i="1"/>
  <c r="F66" i="1"/>
  <c r="G65" i="1"/>
  <c r="H65" i="1"/>
  <c r="I65" i="1"/>
  <c r="M54" i="1"/>
  <c r="I52" i="1"/>
  <c r="H52" i="1"/>
  <c r="H51" i="1"/>
  <c r="G52" i="1"/>
  <c r="G51" i="1"/>
  <c r="F52" i="1"/>
  <c r="F51" i="1"/>
  <c r="O44" i="1"/>
  <c r="O45" i="1"/>
  <c r="O46" i="1"/>
  <c r="M44" i="1"/>
  <c r="M45" i="1"/>
  <c r="M46" i="1"/>
  <c r="J19" i="1"/>
  <c r="J20" i="1"/>
  <c r="J21" i="1"/>
  <c r="J23" i="1"/>
  <c r="J24" i="1"/>
  <c r="P32" i="1"/>
  <c r="J34" i="1"/>
  <c r="J35" i="1"/>
  <c r="S35" i="1" s="1"/>
  <c r="J38" i="1"/>
  <c r="J39" i="1"/>
  <c r="S39" i="1" s="1"/>
  <c r="J40" i="1"/>
  <c r="J48" i="1"/>
  <c r="J49" i="1"/>
  <c r="S49" i="1" s="1"/>
  <c r="J50" i="1"/>
  <c r="O43" i="1"/>
  <c r="M42" i="1"/>
  <c r="O42" i="1"/>
  <c r="O41" i="1"/>
  <c r="M41" i="1"/>
  <c r="P38" i="1" l="1"/>
  <c r="S38" i="1"/>
  <c r="P34" i="1"/>
  <c r="S34" i="1"/>
  <c r="S24" i="1"/>
  <c r="P50" i="1"/>
  <c r="S50" i="1"/>
  <c r="P48" i="1"/>
  <c r="S48" i="1"/>
  <c r="P23" i="1"/>
  <c r="S23" i="1"/>
  <c r="P19" i="1"/>
  <c r="S19" i="1"/>
  <c r="P40" i="1"/>
  <c r="S40" i="1"/>
  <c r="P21" i="1"/>
  <c r="S21" i="1"/>
  <c r="P20" i="1"/>
  <c r="S20" i="1"/>
  <c r="P55" i="1"/>
  <c r="Q55" i="1"/>
  <c r="P24" i="1"/>
  <c r="P39" i="1"/>
  <c r="J52" i="1"/>
  <c r="S52" i="1" s="1"/>
  <c r="P35" i="1"/>
  <c r="P49" i="1"/>
  <c r="P33" i="1"/>
  <c r="J54" i="1"/>
  <c r="S54" i="1" s="1"/>
  <c r="R55" i="1" l="1"/>
  <c r="P52" i="1"/>
  <c r="P54" i="1"/>
  <c r="Q54" i="1"/>
  <c r="R54" i="1" l="1"/>
  <c r="I37" i="1" l="1"/>
  <c r="I36" i="1"/>
  <c r="H37" i="1"/>
  <c r="H66" i="1" s="1"/>
  <c r="I63" i="1"/>
  <c r="I62" i="1"/>
  <c r="H63" i="1"/>
  <c r="H62" i="1"/>
  <c r="G63" i="1"/>
  <c r="G62" i="1"/>
  <c r="H60" i="1"/>
  <c r="G60" i="1"/>
  <c r="G61" i="1"/>
  <c r="H61" i="1"/>
  <c r="I61" i="1"/>
  <c r="I60" i="1"/>
  <c r="I57" i="1"/>
  <c r="I56" i="1"/>
  <c r="J56" i="1" s="1"/>
  <c r="S56" i="1" s="1"/>
  <c r="I53" i="1"/>
  <c r="J53" i="1" s="1"/>
  <c r="S53" i="1" s="1"/>
  <c r="I59" i="1"/>
  <c r="H59" i="1"/>
  <c r="G59" i="1"/>
  <c r="I58" i="1"/>
  <c r="H58" i="1"/>
  <c r="G58" i="1"/>
  <c r="H57" i="1"/>
  <c r="G57" i="1"/>
  <c r="I51" i="1"/>
  <c r="J51" i="1" s="1"/>
  <c r="S51" i="1" s="1"/>
  <c r="F57" i="1"/>
  <c r="J15" i="1"/>
  <c r="S15" i="1" s="1"/>
  <c r="J10" i="1"/>
  <c r="S10" i="1" s="1"/>
  <c r="O7" i="1"/>
  <c r="O9" i="1"/>
  <c r="O10" i="1"/>
  <c r="O11" i="1"/>
  <c r="O12" i="1"/>
  <c r="O13" i="1"/>
  <c r="O14" i="1"/>
  <c r="O15" i="1"/>
  <c r="O16" i="1"/>
  <c r="O19" i="1"/>
  <c r="O20" i="1"/>
  <c r="O21" i="1"/>
  <c r="O23" i="1"/>
  <c r="O24" i="1"/>
  <c r="O32" i="1"/>
  <c r="O33" i="1"/>
  <c r="O34" i="1"/>
  <c r="O35" i="1"/>
  <c r="O36" i="1"/>
  <c r="O37" i="1"/>
  <c r="O38" i="1"/>
  <c r="O39" i="1"/>
  <c r="O40" i="1"/>
  <c r="O48" i="1"/>
  <c r="O49" i="1"/>
  <c r="O50" i="1"/>
  <c r="O51" i="1"/>
  <c r="O52" i="1"/>
  <c r="O53" i="1"/>
  <c r="O54" i="1"/>
  <c r="O56" i="1"/>
  <c r="O57" i="1"/>
  <c r="O58" i="1"/>
  <c r="O59" i="1"/>
  <c r="O60" i="1"/>
  <c r="O61" i="1"/>
  <c r="O62" i="1"/>
  <c r="O63" i="1"/>
  <c r="O6" i="1"/>
  <c r="M48" i="1"/>
  <c r="Q48" i="1" s="1"/>
  <c r="R48" i="1" s="1"/>
  <c r="M49" i="1"/>
  <c r="Q49" i="1" s="1"/>
  <c r="R49" i="1" s="1"/>
  <c r="M50" i="1"/>
  <c r="Q50" i="1" s="1"/>
  <c r="R50" i="1" s="1"/>
  <c r="M51" i="1"/>
  <c r="M52" i="1"/>
  <c r="Q52" i="1" s="1"/>
  <c r="R52" i="1" s="1"/>
  <c r="M53" i="1"/>
  <c r="M56" i="1"/>
  <c r="M57" i="1"/>
  <c r="M58" i="1"/>
  <c r="M59" i="1"/>
  <c r="M60" i="1"/>
  <c r="M61" i="1"/>
  <c r="M62" i="1"/>
  <c r="M63" i="1"/>
  <c r="R30" i="1"/>
  <c r="M32" i="1"/>
  <c r="M33" i="1"/>
  <c r="Q33" i="1" s="1"/>
  <c r="R33" i="1" s="1"/>
  <c r="M34" i="1"/>
  <c r="Q34" i="1" s="1"/>
  <c r="R34" i="1" s="1"/>
  <c r="M35" i="1"/>
  <c r="Q35" i="1" s="1"/>
  <c r="R35" i="1" s="1"/>
  <c r="M36" i="1"/>
  <c r="M37" i="1"/>
  <c r="M38" i="1"/>
  <c r="Q38" i="1" s="1"/>
  <c r="R38" i="1" s="1"/>
  <c r="M39" i="1"/>
  <c r="Q39" i="1" s="1"/>
  <c r="R39" i="1" s="1"/>
  <c r="M40" i="1"/>
  <c r="Q40" i="1" s="1"/>
  <c r="R40" i="1" s="1"/>
  <c r="M19" i="1"/>
  <c r="Q19" i="1" s="1"/>
  <c r="R19" i="1" s="1"/>
  <c r="M20" i="1"/>
  <c r="Q20" i="1" s="1"/>
  <c r="R20" i="1" s="1"/>
  <c r="M21" i="1"/>
  <c r="Q21" i="1" s="1"/>
  <c r="R21" i="1" s="1"/>
  <c r="M23" i="1"/>
  <c r="M24" i="1"/>
  <c r="Q24" i="1" s="1"/>
  <c r="M7" i="1"/>
  <c r="M9" i="1"/>
  <c r="M10" i="1"/>
  <c r="M11" i="1"/>
  <c r="M12" i="1"/>
  <c r="M13" i="1"/>
  <c r="M14" i="1"/>
  <c r="M15" i="1"/>
  <c r="M16" i="1"/>
  <c r="M6" i="1"/>
  <c r="J7" i="1" l="1"/>
  <c r="S7" i="1" s="1"/>
  <c r="F9" i="1"/>
  <c r="J9" i="1" s="1"/>
  <c r="Q32" i="1"/>
  <c r="R32" i="1" s="1"/>
  <c r="Q23" i="1"/>
  <c r="R23" i="1" s="1"/>
  <c r="R24" i="1"/>
  <c r="I66" i="1"/>
  <c r="J57" i="1"/>
  <c r="S57" i="1" s="1"/>
  <c r="F67" i="1"/>
  <c r="J60" i="1"/>
  <c r="S60" i="1" s="1"/>
  <c r="J37" i="1"/>
  <c r="S37" i="1" s="1"/>
  <c r="J6" i="1"/>
  <c r="J36" i="1"/>
  <c r="S36" i="1" s="1"/>
  <c r="J59" i="1"/>
  <c r="S59" i="1" s="1"/>
  <c r="J16" i="1"/>
  <c r="S16" i="1" s="1"/>
  <c r="P10" i="1"/>
  <c r="Q10" i="1"/>
  <c r="J61" i="1"/>
  <c r="S61" i="1" s="1"/>
  <c r="J11" i="1"/>
  <c r="S11" i="1" s="1"/>
  <c r="Q51" i="1"/>
  <c r="P51" i="1"/>
  <c r="R51" i="1" s="1"/>
  <c r="J12" i="1"/>
  <c r="S12" i="1" s="1"/>
  <c r="Q53" i="1"/>
  <c r="P53" i="1"/>
  <c r="J13" i="1"/>
  <c r="S13" i="1" s="1"/>
  <c r="Q56" i="1"/>
  <c r="P56" i="1"/>
  <c r="J62" i="1"/>
  <c r="S62" i="1" s="1"/>
  <c r="J14" i="1"/>
  <c r="S14" i="1" s="1"/>
  <c r="J58" i="1"/>
  <c r="S58" i="1" s="1"/>
  <c r="J63" i="1"/>
  <c r="S63" i="1" s="1"/>
  <c r="P15" i="1"/>
  <c r="Q15" i="1"/>
  <c r="Q7" i="1" l="1"/>
  <c r="P7" i="1"/>
  <c r="R7" i="1" s="1"/>
  <c r="R53" i="1"/>
  <c r="S9" i="1"/>
  <c r="P9" i="1"/>
  <c r="Q9" i="1"/>
  <c r="R15" i="1"/>
  <c r="R10" i="1"/>
  <c r="R56" i="1"/>
  <c r="P37" i="1"/>
  <c r="Q37" i="1"/>
  <c r="Q57" i="1"/>
  <c r="P57" i="1"/>
  <c r="R57" i="1" s="1"/>
  <c r="Q59" i="1"/>
  <c r="S66" i="1"/>
  <c r="J66" i="1"/>
  <c r="Q36" i="1"/>
  <c r="Q6" i="1"/>
  <c r="S6" i="1"/>
  <c r="P36" i="1"/>
  <c r="Q60" i="1"/>
  <c r="P6" i="1"/>
  <c r="P60" i="1"/>
  <c r="P59" i="1"/>
  <c r="R59" i="1" s="1"/>
  <c r="P61" i="1"/>
  <c r="Q61" i="1"/>
  <c r="Q63" i="1"/>
  <c r="P63" i="1"/>
  <c r="P11" i="1"/>
  <c r="Q11" i="1"/>
  <c r="P62" i="1"/>
  <c r="Q62" i="1"/>
  <c r="P58" i="1"/>
  <c r="Q58" i="1"/>
  <c r="P16" i="1"/>
  <c r="Q16" i="1"/>
  <c r="P13" i="1"/>
  <c r="Q13" i="1"/>
  <c r="P12" i="1"/>
  <c r="Q12" i="1"/>
  <c r="P14" i="1"/>
  <c r="Q14" i="1"/>
  <c r="R9" i="1" l="1"/>
  <c r="R37" i="1"/>
  <c r="R60" i="1"/>
  <c r="R14" i="1"/>
  <c r="R63" i="1"/>
  <c r="R61" i="1"/>
  <c r="R12" i="1"/>
  <c r="R11" i="1"/>
  <c r="R58" i="1"/>
  <c r="R62" i="1"/>
  <c r="R36" i="1"/>
  <c r="R13" i="1"/>
  <c r="R16" i="1"/>
  <c r="R6" i="1"/>
  <c r="P66" i="1"/>
  <c r="Q66" i="1"/>
  <c r="J42" i="1" l="1"/>
  <c r="S42" i="1" s="1"/>
  <c r="J46" i="1"/>
  <c r="S46" i="1" s="1"/>
  <c r="J44" i="1"/>
  <c r="S44" i="1" s="1"/>
  <c r="S45" i="1"/>
  <c r="J41" i="1" l="1"/>
  <c r="S41" i="1" s="1"/>
  <c r="Q44" i="1"/>
  <c r="P44" i="1"/>
  <c r="Q42" i="1"/>
  <c r="P42" i="1"/>
  <c r="Q46" i="1"/>
  <c r="P46" i="1"/>
  <c r="P45" i="1"/>
  <c r="Q45" i="1"/>
  <c r="R42" i="1" l="1"/>
  <c r="R44" i="1"/>
  <c r="R45" i="1"/>
  <c r="R46" i="1"/>
  <c r="P41" i="1"/>
  <c r="Q41" i="1"/>
  <c r="R41" i="1" l="1"/>
  <c r="G68" i="1" l="1"/>
  <c r="H68" i="1"/>
  <c r="H67" i="1"/>
  <c r="G67" i="1" l="1"/>
  <c r="J43" i="1"/>
  <c r="S43" i="1" s="1"/>
  <c r="I67" i="1"/>
  <c r="I68" i="1"/>
  <c r="P43" i="1" l="1"/>
  <c r="S67" i="1"/>
  <c r="Q43" i="1"/>
  <c r="Q67" i="1" s="1"/>
  <c r="J67" i="1"/>
  <c r="P67" i="1" l="1"/>
  <c r="R43" i="1"/>
  <c r="J8" i="1" l="1"/>
  <c r="F68" i="1"/>
  <c r="F65" i="1"/>
  <c r="S8" i="1" l="1"/>
  <c r="J65" i="1"/>
  <c r="Q8" i="1"/>
  <c r="P8" i="1"/>
  <c r="J68" i="1"/>
  <c r="Q65" i="1" l="1"/>
  <c r="Q68" i="1"/>
  <c r="P65" i="1"/>
  <c r="P68" i="1"/>
  <c r="R68" i="1" s="1"/>
  <c r="R8" i="1"/>
  <c r="S65" i="1"/>
  <c r="S68" i="1"/>
</calcChain>
</file>

<file path=xl/sharedStrings.xml><?xml version="1.0" encoding="utf-8"?>
<sst xmlns="http://schemas.openxmlformats.org/spreadsheetml/2006/main" count="717" uniqueCount="267">
  <si>
    <t>Existing Revenue Summary Sheet</t>
  </si>
  <si>
    <t>Description</t>
  </si>
  <si>
    <t>Sheet Name</t>
  </si>
  <si>
    <t>Sheet Description</t>
  </si>
  <si>
    <t>Summary</t>
  </si>
  <si>
    <t>Description of the spreadsheet organization.</t>
  </si>
  <si>
    <t>Dashboard</t>
  </si>
  <si>
    <t>Summary of all funding sources and key assumptions</t>
  </si>
  <si>
    <t>ProgrammedFundSummary</t>
  </si>
  <si>
    <t>Rachael Hartofelis, MTC/ABAG</t>
  </si>
  <si>
    <t>rhartofelis@bayareametro.gov</t>
  </si>
  <si>
    <t>Michael Germeraad, MTC/ABAG</t>
  </si>
  <si>
    <t>mgermeraad@bayareametro.gov</t>
  </si>
  <si>
    <t>Revenue Summary Table</t>
  </si>
  <si>
    <t>Adds to 100%</t>
  </si>
  <si>
    <t>Source</t>
  </si>
  <si>
    <t>Agency</t>
  </si>
  <si>
    <t>Funding Program</t>
  </si>
  <si>
    <t>FY22/23</t>
  </si>
  <si>
    <t>FY23/24</t>
  </si>
  <si>
    <t>FY24+</t>
  </si>
  <si>
    <t>Total</t>
  </si>
  <si>
    <t>Bay Area Share</t>
  </si>
  <si>
    <t>Implement Share</t>
  </si>
  <si>
    <r>
      <t xml:space="preserve">Planning Share 
</t>
    </r>
    <r>
      <rPr>
        <sz val="9"/>
        <color theme="1"/>
        <rFont val="Calibri"/>
        <family val="2"/>
        <scheme val="minor"/>
      </rPr>
      <t>Calculated (1-L)</t>
    </r>
  </si>
  <si>
    <t>SLR
Share</t>
  </si>
  <si>
    <r>
      <t xml:space="preserve">Non-SLR
Share 
</t>
    </r>
    <r>
      <rPr>
        <sz val="9"/>
        <color theme="1"/>
        <rFont val="Calibri"/>
        <family val="2"/>
        <scheme val="minor"/>
      </rPr>
      <t>Calculated (1-N)</t>
    </r>
  </si>
  <si>
    <t>Bay Area, Implement, SLR Share</t>
  </si>
  <si>
    <t>Bay Area, Planning, SLR Share</t>
  </si>
  <si>
    <t>Bay Area Total</t>
  </si>
  <si>
    <t>Planning/ Implementation Focus</t>
  </si>
  <si>
    <t>Notes</t>
  </si>
  <si>
    <t>Local</t>
  </si>
  <si>
    <t>Local Bond Measures</t>
  </si>
  <si>
    <t>City and County of San Francisco</t>
  </si>
  <si>
    <t>-</t>
  </si>
  <si>
    <t>Foster City</t>
  </si>
  <si>
    <t>Regional Measures</t>
  </si>
  <si>
    <t>SFBRA</t>
  </si>
  <si>
    <t>Measure AA</t>
  </si>
  <si>
    <t>Committed Project Funds</t>
  </si>
  <si>
    <t>Various</t>
  </si>
  <si>
    <t xml:space="preserve">Committed Project Funds </t>
  </si>
  <si>
    <t>Plan Bay Area 2050: Revenue Summary</t>
  </si>
  <si>
    <t>State</t>
  </si>
  <si>
    <t>State Bond Measure Uncommitted Funding</t>
  </si>
  <si>
    <t>Prop 68</t>
  </si>
  <si>
    <t>Prop 84</t>
  </si>
  <si>
    <t>Prop 1</t>
  </si>
  <si>
    <t>Prop 1E</t>
  </si>
  <si>
    <t>State Bond Measure Committed Funding</t>
  </si>
  <si>
    <t>SCC</t>
  </si>
  <si>
    <t>OPC</t>
  </si>
  <si>
    <t>DWR</t>
  </si>
  <si>
    <t>State Programs</t>
  </si>
  <si>
    <t>CNRA</t>
  </si>
  <si>
    <t>Environmental Enhancement and Mitigation Program</t>
  </si>
  <si>
    <t>SGC</t>
  </si>
  <si>
    <t>SALC</t>
  </si>
  <si>
    <t>California State Budget (2021/22 and 2022/23) Line Items</t>
  </si>
  <si>
    <t>Regional Resilience Planning &amp; Implementation Grants</t>
  </si>
  <si>
    <t>2021_CA_ClimateAddendum - page 6
2022_CA_ClimateAddendum - page 19</t>
  </si>
  <si>
    <t>OPR - ICARP</t>
  </si>
  <si>
    <t>Adaptation Planning Grants</t>
  </si>
  <si>
    <t>ICARP - Q2 Meeting - developing guidelines for grant program</t>
  </si>
  <si>
    <t>Nature-Based Sea Level Rise Solutions</t>
  </si>
  <si>
    <t>Climate Ready Sea Level Rise</t>
  </si>
  <si>
    <t>Climate Resilience</t>
  </si>
  <si>
    <t>2021_CA_ClimateAddendum - page 6
2022_CA_ClimateAddendum - page 18</t>
  </si>
  <si>
    <t>Coastal Property Accquisition</t>
  </si>
  <si>
    <t>CNRA + OPC</t>
  </si>
  <si>
    <t>Nature-Based Coastal Adaptation Projects and Efforts</t>
  </si>
  <si>
    <t>DSC</t>
  </si>
  <si>
    <t>Wetlands Restoration Program in Delta</t>
  </si>
  <si>
    <t>CDFW</t>
  </si>
  <si>
    <t>Wetlands Restoration Program</t>
  </si>
  <si>
    <t>2021_CA_ClimateAddendum - page 6
2022_CA_ClimateAddendum - page 17</t>
  </si>
  <si>
    <t>WCB, DWR</t>
  </si>
  <si>
    <t>Watershed Resilience Projects</t>
  </si>
  <si>
    <t>Habitat Restoration</t>
  </si>
  <si>
    <t>WCB</t>
  </si>
  <si>
    <t>Protect Fish and Wildlife from Changing Conditions</t>
  </si>
  <si>
    <t>Caltrans</t>
  </si>
  <si>
    <t>https://dot.ca.gov/programs/transportation-planning/regional-planning/sustainable-transportation-planning-grants</t>
  </si>
  <si>
    <t>2022_CA_ClimateAddendum - page 4
2022_CA_ClimateAddendum_TransportationPrograms - page 1</t>
  </si>
  <si>
    <t>See: Floor Report pg 133 &amp; 229</t>
  </si>
  <si>
    <r>
      <t xml:space="preserve">State Transportation Infrastructure Climate Adaptation Project Program </t>
    </r>
    <r>
      <rPr>
        <sz val="11"/>
        <color theme="5" tint="-0.249977111117893"/>
        <rFont val="Calibri"/>
        <family val="2"/>
        <scheme val="minor"/>
      </rPr>
      <t>¡Includes IIJA State Allocation!</t>
    </r>
  </si>
  <si>
    <r>
      <t xml:space="preserve">Local Transportation Infrastructure Climate Adaptation Program </t>
    </r>
    <r>
      <rPr>
        <sz val="11"/>
        <color theme="5" tint="-0.249977111117893"/>
        <rFont val="Calibri"/>
        <family val="2"/>
        <scheme val="minor"/>
      </rPr>
      <t>¡Includes IIJA State Allocation!</t>
    </r>
  </si>
  <si>
    <t>TAM</t>
  </si>
  <si>
    <t>Line Item Carve Out</t>
  </si>
  <si>
    <t>2022_CA_ClimateAddendum_MiscPrograms</t>
  </si>
  <si>
    <t>Sausalito</t>
  </si>
  <si>
    <t>2022_CA_ClimateAddendum_MiscPrograms
Page 206 State Budget Floor Report - Oct 6</t>
  </si>
  <si>
    <t>Confirmed 10/13</t>
  </si>
  <si>
    <t>Regional Climate Collaboratives</t>
  </si>
  <si>
    <t>Federal</t>
  </si>
  <si>
    <t>Federal Programs</t>
  </si>
  <si>
    <t>FEMA</t>
  </si>
  <si>
    <t>US ACE</t>
  </si>
  <si>
    <t>USACE FY2011-22 Work Plans - Construction, Investigation, O&amp;M, excluding navigation</t>
  </si>
  <si>
    <t>EPA</t>
  </si>
  <si>
    <t>NOAA</t>
  </si>
  <si>
    <r>
      <t xml:space="preserve">IIJA (2021)
</t>
    </r>
    <r>
      <rPr>
        <i/>
        <sz val="11"/>
        <color theme="1"/>
        <rFont val="Calibri"/>
        <family val="2"/>
        <scheme val="minor"/>
      </rPr>
      <t>Sea Level Rise Nexus</t>
    </r>
  </si>
  <si>
    <t>FHWA</t>
  </si>
  <si>
    <t>PROTECT (CA Allocation) - captured under Caltrans (State), CTC (Local) Programs</t>
  </si>
  <si>
    <t>PROTECT (US Competitive)</t>
  </si>
  <si>
    <t>USACE</t>
  </si>
  <si>
    <t>https://usace.contentdm.oclc.org/utils/getfile/collection/p16021coll6/id/2236</t>
  </si>
  <si>
    <t>Safeguarding Tomorrow through Ongoing Risk Mitigation (STORM)</t>
  </si>
  <si>
    <t>https://bgrdc.com/infrastructure-investment-and-jobs-act-resiliency-and-environmental-remediation/#:~:text=The%20Infrastructure%20Investment%20and%20Jobs,ecosystem%20restoration%2C%20heat%20stress%2C%20and</t>
  </si>
  <si>
    <t>Community  Based Restoration Project</t>
  </si>
  <si>
    <t>NFWF</t>
  </si>
  <si>
    <t>America the Beautiful Challenge</t>
  </si>
  <si>
    <t>Overall Program Size - https://www.whitehouse.gov/ceq/news-updates/2022/04/11/biden-harris-administration-launches-1-billion-america-the-beautiful-challenge-to-support-and-accelerate-locally-led-conservation-and-restoration-projects/
2022 Program Amount - https://www.nfwf.org/programs/america-beautiful-challenge/america-beautiful-challenge-2022-request-proposals</t>
  </si>
  <si>
    <t xml:space="preserve">USDA </t>
  </si>
  <si>
    <t>NRCS Watershed Program</t>
  </si>
  <si>
    <t>DOI-BIA</t>
  </si>
  <si>
    <t>Tribal Climate Resilience</t>
  </si>
  <si>
    <r>
      <t xml:space="preserve">IRA (2022)
</t>
    </r>
    <r>
      <rPr>
        <i/>
        <sz val="11"/>
        <color theme="1"/>
        <rFont val="Calibri"/>
        <family val="2"/>
        <scheme val="minor"/>
      </rPr>
      <t>Sea Level Rise Nexus</t>
    </r>
  </si>
  <si>
    <t>Investing in Coastal Communities and Climate Resilience (SEC. 40001)</t>
  </si>
  <si>
    <t>Page 211 of pdf. https://www.congress.gov/117/bills/hr5376/BILLS-117hr5376enr.pdf</t>
  </si>
  <si>
    <t>Page 271 https://www.congress.gov/117/bills/hr5376/BILLS-117hr5376enr.pdf</t>
  </si>
  <si>
    <t>USFAWS</t>
  </si>
  <si>
    <t>Funding for the United States Fish and Wildlife Service to Address Weather Events (SEC. 60302)</t>
  </si>
  <si>
    <t>Page 262 https://www.congress.gov/117/bills/hr5376/BILLS-117hr5376enr.pdf</t>
  </si>
  <si>
    <t>Environmental and Climate Justice Block Grants</t>
  </si>
  <si>
    <t>Page 261 https://www.congress.gov/117/bills/hr5376/BILLS-117hr5376enr.pdf</t>
  </si>
  <si>
    <t>BLM / NPS</t>
  </si>
  <si>
    <t>National Parks and Public Lands Conservation and Ecosystem Resotration (SEC. 50222)</t>
  </si>
  <si>
    <t>Page 235 https://www.congress.gov/117/bills/hr5376/BILLS-117hr5376enr.pdf</t>
  </si>
  <si>
    <t>National Parks and Public Lands Conservation and Resilience (SEC. 50221)</t>
  </si>
  <si>
    <t>Sub-Total Local</t>
  </si>
  <si>
    <t>Sub-Total State</t>
  </si>
  <si>
    <t>Sub-Total Federal</t>
  </si>
  <si>
    <t>Ongoing Funding Programs - Historic Amounts and Forecasted Future Years</t>
  </si>
  <si>
    <t>Bay Area Totals</t>
  </si>
  <si>
    <t>National Total</t>
  </si>
  <si>
    <t>California Total</t>
  </si>
  <si>
    <t>Base Info</t>
  </si>
  <si>
    <t>FEMA - HMGP</t>
  </si>
  <si>
    <t>FEMA - BRIC</t>
  </si>
  <si>
    <t>NOAA - NCRF</t>
  </si>
  <si>
    <t>NOAA - Species Recovery (CA)</t>
  </si>
  <si>
    <t>SGC - SALC</t>
  </si>
  <si>
    <t>Year</t>
  </si>
  <si>
    <t>Inflation Escalation
(Forward &amp; Backward)</t>
  </si>
  <si>
    <r>
      <t xml:space="preserve">Historic Values </t>
    </r>
    <r>
      <rPr>
        <sz val="10"/>
        <color theme="1"/>
        <rFont val="Calibri"/>
        <family val="2"/>
        <scheme val="minor"/>
      </rPr>
      <t>(non-adjusted)</t>
    </r>
  </si>
  <si>
    <r>
      <t xml:space="preserve">Inflation Adjusted </t>
    </r>
    <r>
      <rPr>
        <sz val="10"/>
        <color theme="1"/>
        <rFont val="Calibri"/>
        <family val="2"/>
        <scheme val="minor"/>
      </rPr>
      <t>(past)</t>
    </r>
    <r>
      <rPr>
        <b/>
        <sz val="10"/>
        <color theme="1"/>
        <rFont val="Calibri"/>
        <family val="2"/>
        <scheme val="minor"/>
      </rPr>
      <t xml:space="preserve"> </t>
    </r>
    <r>
      <rPr>
        <sz val="10"/>
        <color theme="1"/>
        <rFont val="Calibri"/>
        <family val="2"/>
        <scheme val="minor"/>
      </rPr>
      <t>&amp;</t>
    </r>
    <r>
      <rPr>
        <b/>
        <sz val="10"/>
        <color theme="1"/>
        <rFont val="Calibri"/>
        <family val="2"/>
        <scheme val="minor"/>
      </rPr>
      <t xml:space="preserve">
YOE </t>
    </r>
    <r>
      <rPr>
        <sz val="10"/>
        <color theme="1"/>
        <rFont val="Calibri"/>
        <family val="2"/>
        <scheme val="minor"/>
      </rPr>
      <t>(future)</t>
    </r>
  </si>
  <si>
    <r>
      <t xml:space="preserve">Inflation Adjusted </t>
    </r>
    <r>
      <rPr>
        <sz val="10"/>
        <color theme="1"/>
        <rFont val="Calibri"/>
        <family val="2"/>
        <scheme val="minor"/>
      </rPr>
      <t>(past)</t>
    </r>
    <r>
      <rPr>
        <b/>
        <sz val="10"/>
        <color theme="1"/>
        <rFont val="Calibri"/>
        <family val="2"/>
        <scheme val="minor"/>
      </rPr>
      <t xml:space="preserve"> </t>
    </r>
    <r>
      <rPr>
        <sz val="10"/>
        <color theme="1"/>
        <rFont val="Calibri"/>
        <family val="2"/>
        <scheme val="minor"/>
      </rPr>
      <t>&amp;</t>
    </r>
    <r>
      <rPr>
        <b/>
        <sz val="10"/>
        <color theme="1"/>
        <rFont val="Calibri"/>
        <family val="2"/>
        <scheme val="minor"/>
      </rPr>
      <t xml:space="preserve">
YOE </t>
    </r>
    <r>
      <rPr>
        <sz val="10"/>
        <color theme="1"/>
        <rFont val="Calibri"/>
        <family val="2"/>
        <scheme val="minor"/>
      </rPr>
      <t xml:space="preserve">(future)
</t>
    </r>
    <r>
      <rPr>
        <b/>
        <sz val="10"/>
        <color theme="5" tint="-0.249977111117893"/>
        <rFont val="Calibri"/>
        <family val="2"/>
        <scheme val="minor"/>
      </rPr>
      <t>(no escalation; 0.5% historic annual increase)</t>
    </r>
  </si>
  <si>
    <r>
      <t xml:space="preserve">Past Values [6% DRF] </t>
    </r>
    <r>
      <rPr>
        <sz val="10"/>
        <color theme="1"/>
        <rFont val="Calibri"/>
        <family val="2"/>
        <scheme val="minor"/>
      </rPr>
      <t>(non-adjusted)</t>
    </r>
  </si>
  <si>
    <r>
      <t xml:space="preserve">Inflation Adjusted </t>
    </r>
    <r>
      <rPr>
        <sz val="10"/>
        <color theme="1"/>
        <rFont val="Calibri"/>
        <family val="2"/>
        <scheme val="minor"/>
      </rPr>
      <t>(past)</t>
    </r>
    <r>
      <rPr>
        <b/>
        <sz val="10"/>
        <color theme="1"/>
        <rFont val="Calibri"/>
        <family val="2"/>
        <scheme val="minor"/>
      </rPr>
      <t xml:space="preserve"> </t>
    </r>
    <r>
      <rPr>
        <sz val="10"/>
        <color theme="1"/>
        <rFont val="Calibri"/>
        <family val="2"/>
        <scheme val="minor"/>
      </rPr>
      <t>&amp;</t>
    </r>
    <r>
      <rPr>
        <b/>
        <sz val="10"/>
        <color theme="1"/>
        <rFont val="Calibri"/>
        <family val="2"/>
        <scheme val="minor"/>
      </rPr>
      <t xml:space="preserve">
YOE </t>
    </r>
    <r>
      <rPr>
        <sz val="10"/>
        <color theme="1"/>
        <rFont val="Calibri"/>
        <family val="2"/>
        <scheme val="minor"/>
      </rPr>
      <t>(future) +</t>
    </r>
    <r>
      <rPr>
        <b/>
        <sz val="10"/>
        <color theme="1"/>
        <rFont val="Calibri"/>
        <family val="2"/>
        <scheme val="minor"/>
      </rPr>
      <t xml:space="preserve">
</t>
    </r>
    <r>
      <rPr>
        <b/>
        <sz val="10"/>
        <color theme="5" tint="-0.249977111117893"/>
        <rFont val="Calibri"/>
        <family val="2"/>
        <scheme val="minor"/>
      </rPr>
      <t>(2% annual USA disaster increase)</t>
    </r>
  </si>
  <si>
    <t>Annual Average</t>
  </si>
  <si>
    <t>Totals</t>
  </si>
  <si>
    <t>California</t>
  </si>
  <si>
    <t>Alameda County</t>
  </si>
  <si>
    <t>Sonoma County</t>
  </si>
  <si>
    <t>Napa County</t>
  </si>
  <si>
    <t>San Mateo County</t>
  </si>
  <si>
    <t>Contra Costa County</t>
  </si>
  <si>
    <t>Santa Clara County</t>
  </si>
  <si>
    <t>http://bondaccountability.resources.ca.gov/p68.aspx</t>
  </si>
  <si>
    <t>https://bondaccountability.resources.ca.gov/p1e.aspx</t>
  </si>
  <si>
    <t>https://scc.ca.gov/files/2020/11/RFP_Prop68_SFBayClimate_2020.11.02_Final.pdf</t>
  </si>
  <si>
    <t>https://water.ca.gov/Work-With-Us/Grants-And-Loans/IRWM-Grant-Programs/Proposition-1/Implementation-Grants</t>
  </si>
  <si>
    <t>https://www.opc.ca.gov/webmaster/_media_library/2022/07/Prop68-Informational-Webinar-508.pdf</t>
  </si>
  <si>
    <t>First four years are averaged based on knowledge from the Round 8 announcement, "Launched by SGC in 2015, SALC has awarded $298.9 million in its first seven years to projects that conserve 144 properties in 36 counties, protecting over 142,000 acres of agricultural land in perpetuity"</t>
  </si>
  <si>
    <t>https://www.sfbayrestore.org/sites/default/files/2022-02/SFBRA%20FY21%20Financial%20Report_FINAL%20DRAFT%20%28SECURED%29.pdf</t>
  </si>
  <si>
    <t>Population</t>
  </si>
  <si>
    <t>C1</t>
  </si>
  <si>
    <t>G3</t>
  </si>
  <si>
    <t>E3</t>
  </si>
  <si>
    <t>D2</t>
  </si>
  <si>
    <t>H2</t>
  </si>
  <si>
    <t>H3</t>
  </si>
  <si>
    <t>A2</t>
  </si>
  <si>
    <t>B2</t>
  </si>
  <si>
    <t>D3</t>
  </si>
  <si>
    <t>C2</t>
  </si>
  <si>
    <t>B3</t>
  </si>
  <si>
    <t>C3</t>
  </si>
  <si>
    <t>G2</t>
  </si>
  <si>
    <t>G5</t>
  </si>
  <si>
    <t>F4</t>
  </si>
  <si>
    <t>F5</t>
  </si>
  <si>
    <t>B4</t>
  </si>
  <si>
    <t>D4</t>
  </si>
  <si>
    <t>C5</t>
  </si>
  <si>
    <t>G4</t>
  </si>
  <si>
    <t>E4</t>
  </si>
  <si>
    <t>C4</t>
  </si>
  <si>
    <t>D5</t>
  </si>
  <si>
    <t>A4</t>
  </si>
  <si>
    <t>E5</t>
  </si>
  <si>
    <t>A5</t>
  </si>
  <si>
    <t>B5</t>
  </si>
  <si>
    <t>Periodic Table Reference</t>
  </si>
  <si>
    <t>Sustainable Transportation Planning Grant Program (STPG): Adaptation Planning Grant</t>
  </si>
  <si>
    <t>Sustainable Transportation Planning Grants (SB1)</t>
  </si>
  <si>
    <t>Bay Area, SLR Total</t>
  </si>
  <si>
    <t>F2</t>
  </si>
  <si>
    <t>E2</t>
  </si>
  <si>
    <t>F3</t>
  </si>
  <si>
    <t>Line Item Carve Outs (City of Berkeley, EBRPD, Pacifica)</t>
  </si>
  <si>
    <t>CTC</t>
  </si>
  <si>
    <t>2018 Bond Measure</t>
  </si>
  <si>
    <t>FY21/22</t>
  </si>
  <si>
    <t>https://www.california-demographics.com/counties_by_population</t>
  </si>
  <si>
    <t>Solano County</t>
  </si>
  <si>
    <t>San Francisco County</t>
  </si>
  <si>
    <t>Marin County</t>
  </si>
  <si>
    <t>Jurisdiction</t>
  </si>
  <si>
    <t>https://www.census.gov/quickfacts/fact/table/US/PST045221</t>
  </si>
  <si>
    <t>United States Census Bureau, Population Estimates, July 1 2021</t>
  </si>
  <si>
    <t>9-County Bay Area</t>
  </si>
  <si>
    <t>Coastal California Counties</t>
  </si>
  <si>
    <t>Coastal States</t>
  </si>
  <si>
    <t>United States</t>
  </si>
  <si>
    <t>Bay Area County</t>
  </si>
  <si>
    <t>Pop Share</t>
  </si>
  <si>
    <t>Population share of nine-county Bay Area</t>
  </si>
  <si>
    <t>Adjusted 2/10/23</t>
  </si>
  <si>
    <t>Climate Change Impacts on Wildlife</t>
  </si>
  <si>
    <t>Delta Levees</t>
  </si>
  <si>
    <t>FullBudgetSummary2324_Jan2023 - page 49</t>
  </si>
  <si>
    <t>Added 2/10/23</t>
  </si>
  <si>
    <t>2021_CA_ClimateAddendum - page 6
2022_CA_ClimateAddendum - page 18, FullBudgetSummary2324_Jan2023 - page 49</t>
  </si>
  <si>
    <t>Adjusted 2/10/23. This program has a $30M set asside for the Bay Area in 22/23, and $100m in 23/24. Need to confirm this is not double counting the Multi-Benefit line item (row 10).</t>
  </si>
  <si>
    <t>2022_CA_ClimateAddendum_MiscPrograms
2022_CA_ClimateAddendum_ClimateReadyProgram, , FullBudgetSummary2324_Jan2023 - page 53</t>
  </si>
  <si>
    <t>Updated June 2023</t>
  </si>
  <si>
    <t xml:space="preserve">Sea Level Rise Adaptation Funding and Investment Framework: </t>
  </si>
  <si>
    <t>Background</t>
  </si>
  <si>
    <t xml:space="preserve">The Sea Level Rise Adaptation Funding and Investment Framework (Framework) is a data-driven research project co-led by MTC/ABAG and BCDC. In October 2021, BCDC’s Bay Adapt Joint Platform and MTC/ABAG’s Plan Bay Area 2050 Implementation Plan identified a priority action to develop a regional funding framework to identify near-term adaptation needs, and to study possible funding approaches. MTC/ABAG and BCDC worked in partnership to develop a Sea Level Rise Adaptation Funding and Investment Framework to advance the tasks outlined by Plan Bay Area 2050 and Bay Adapt. The Framework leveraged the best available data to analyze regional potential revenue approaches to address the regional sea level rise adaptation funding need.
</t>
  </si>
  <si>
    <t>Contents</t>
  </si>
  <si>
    <t>Based on relevant projects for the Bay Area: https://www.epa.gov/sfbay-delta/sf-bay-water-quality-improvement-fund-projects; https://www.epa.gov/sites/default/files/2015-03/documents/sfbwqif-report_2008-2014.pdf</t>
  </si>
  <si>
    <t>California Elections Data Archive</t>
  </si>
  <si>
    <t>Programmed Funds Summary</t>
  </si>
  <si>
    <t xml:space="preserve">Adjusted 2/10/13 </t>
  </si>
  <si>
    <t xml:space="preserve"> https://www.fisheries.noaa.gov/national/endangered-species-conservation/funded-species-recovery-grants-states-proposals#2021</t>
  </si>
  <si>
    <t>https://coast.noaa.gov/resilience-grant/</t>
  </si>
  <si>
    <t>FEMA HMGP funds for Bay Area</t>
  </si>
  <si>
    <t>https://www.conservation.ca.gov/dlrp/grant-programs/SALCP/Documents/FY%202018-19%20Awarded%20Projects%20List.pdf; https://www.conservation.ca.gov/dlrp/grant-programs/SALCP/Documents/FY19-20%20Awarded%20Projects%20Tables.pdf; https://www.conservation.ca.gov/dlrp/grant-programs/Documents/grant/Awarded%20Project%20List%202020-21.pdf</t>
  </si>
  <si>
    <t>SCC, FullBudgetSummary2324_Jan2023 - page 53</t>
  </si>
  <si>
    <t>Read Me</t>
  </si>
  <si>
    <r>
      <t xml:space="preserve">This worksheet summarizes and forecast existing revenue sources for the Framework. The tables identify fund sources that have a nexus with sea level rise adaptation -- note that for some sources we estimate that a small share of the total source may support sea level rise adaptation planning or project implementation. There are a variety of fund sources tracked in the file:
(i) one-time funding which is tallied and reflects actual dollar amounts in future fiscal years (e.g. many IIJA, IRA, and '21, '22 state budget commitments),
(ii) annual program funding which is forecasted using historic programming amounts through the year 2050 and is calculated in year of expenditure (YOE) dollars. 
(iii) uncommitted funding which is estimated -- past state propositions often fall into this category.
</t>
    </r>
    <r>
      <rPr>
        <b/>
        <sz val="11"/>
        <color theme="1"/>
        <rFont val="Calibri"/>
        <family val="2"/>
        <scheme val="minor"/>
      </rPr>
      <t xml:space="preserve">The Dashboard sheet is the primary sheet that most viewers are expected to focus their attention. </t>
    </r>
    <r>
      <rPr>
        <sz val="11"/>
        <color theme="1"/>
        <rFont val="Calibri"/>
        <family val="2"/>
        <scheme val="minor"/>
      </rPr>
      <t>The dashboard displays all of the funding sources, and the assumptions about how much revenue the Bay Area can anticipate from each fund source to support sea level adaptation.</t>
    </r>
  </si>
  <si>
    <t>https://www.fema.gov/grants/mitigation/building-resilient-infrastructure-communities/fy2020-subapplication-status; https://www.everycrsreport.com/files/20200416_R45484_ec8ad792a9ace7a6324bf395ce72ff4c70c0d8a5.pdf</t>
  </si>
  <si>
    <t>Contact</t>
  </si>
  <si>
    <t>Chapter 8, 9, 10, 11.5</t>
  </si>
  <si>
    <t>Chapter 3, 5, 7</t>
  </si>
  <si>
    <t>Chapter 6, 7, 11; $18.5 m over 3 years</t>
  </si>
  <si>
    <t>https://bondaccountability.resources.ca.gov/p1.aspx
Page 117 - CA 22/23 State Budget Floor Report Oct 6</t>
  </si>
  <si>
    <t>Section 5096.821, 5096.824, 5096.825, 5096.827</t>
  </si>
  <si>
    <t>Population Share Assumptions</t>
  </si>
  <si>
    <t xml:space="preserve">Summarizes Framework population assumptions for existing revenue sources. </t>
  </si>
  <si>
    <t>Shows the "math" behind forecasting regular/annual funding programs. Shows historic program size and forecasts to 2050 in year of expenditure dollars.</t>
  </si>
  <si>
    <t>Funding Amount (in millions, 2022 dollars)</t>
  </si>
  <si>
    <t>The values represented here are a regional estimate for the Bay Area, and are for informational purposes only. Estimates are shown in order of scale, from local and regional, state, and federal. Estimates  were last updated in February 2023. Values in green show the key assumptions, including the initial estimates (columns F-I), the final estimate per source (column R) and the total estimate (cell R68).</t>
  </si>
  <si>
    <r>
      <t>FMA</t>
    </r>
    <r>
      <rPr>
        <i/>
        <sz val="11"/>
        <color theme="1"/>
        <rFont val="Calibri"/>
        <family val="2"/>
        <scheme val="minor"/>
      </rPr>
      <t xml:space="preserve"> </t>
    </r>
    <r>
      <rPr>
        <i/>
        <sz val="11"/>
        <color theme="5" tint="-0.249977111117893"/>
        <rFont val="Calibri"/>
        <family val="2"/>
        <scheme val="minor"/>
      </rPr>
      <t>IIJA Expansion Only</t>
    </r>
  </si>
  <si>
    <r>
      <t>BRIC</t>
    </r>
    <r>
      <rPr>
        <i/>
        <sz val="11"/>
        <color theme="1"/>
        <rFont val="Calibri"/>
        <family val="2"/>
        <scheme val="minor"/>
      </rPr>
      <t xml:space="preserve"> </t>
    </r>
    <r>
      <rPr>
        <i/>
        <sz val="11"/>
        <color theme="5" tint="-0.249977111117893"/>
        <rFont val="Calibri"/>
        <family val="2"/>
        <scheme val="minor"/>
      </rPr>
      <t>IIJA Expansion Only</t>
    </r>
  </si>
  <si>
    <r>
      <t xml:space="preserve">National Coastal Resiliency Fund </t>
    </r>
    <r>
      <rPr>
        <i/>
        <sz val="11"/>
        <color theme="5" tint="-0.249977111117893"/>
        <rFont val="Calibri"/>
        <family val="2"/>
        <scheme val="minor"/>
      </rPr>
      <t>Only 2021-2025, Other years above</t>
    </r>
  </si>
  <si>
    <r>
      <t>Infrastructure Priorities</t>
    </r>
    <r>
      <rPr>
        <i/>
        <sz val="11"/>
        <color theme="1"/>
        <rFont val="Calibri"/>
        <family val="2"/>
        <scheme val="minor"/>
      </rPr>
      <t xml:space="preserve"> </t>
    </r>
    <r>
      <rPr>
        <i/>
        <sz val="11"/>
        <color theme="5" tint="-0.249977111117893"/>
        <rFont val="Calibri"/>
        <family val="2"/>
        <scheme val="minor"/>
      </rPr>
      <t>IIJA Element Only</t>
    </r>
  </si>
  <si>
    <r>
      <t xml:space="preserve">Prop 1  </t>
    </r>
    <r>
      <rPr>
        <i/>
        <sz val="11"/>
        <color theme="5" tint="-0.249977111117893"/>
        <rFont val="Calibri"/>
        <family val="2"/>
        <scheme val="minor"/>
      </rPr>
      <t>Bay Area Amount</t>
    </r>
  </si>
  <si>
    <r>
      <t xml:space="preserve">HMA (HMGP, FMA) </t>
    </r>
    <r>
      <rPr>
        <i/>
        <sz val="11"/>
        <color theme="5" tint="-0.249977111117893"/>
        <rFont val="Calibri"/>
        <family val="2"/>
        <scheme val="minor"/>
      </rPr>
      <t>Bay Area Amount</t>
    </r>
  </si>
  <si>
    <r>
      <t xml:space="preserve">BRIC  </t>
    </r>
    <r>
      <rPr>
        <i/>
        <sz val="11"/>
        <color theme="5" tint="-0.249977111117893"/>
        <rFont val="Calibri"/>
        <family val="2"/>
        <scheme val="minor"/>
      </rPr>
      <t>Non IIJA Amount</t>
    </r>
  </si>
  <si>
    <r>
      <t xml:space="preserve">Various  </t>
    </r>
    <r>
      <rPr>
        <i/>
        <sz val="11"/>
        <color theme="5" tint="-0.249977111117893"/>
        <rFont val="Calibri"/>
        <family val="2"/>
        <scheme val="minor"/>
      </rPr>
      <t>Bay Area Amount</t>
    </r>
  </si>
  <si>
    <r>
      <t xml:space="preserve">National Coastal Resiliency Fund </t>
    </r>
    <r>
      <rPr>
        <sz val="11"/>
        <color theme="5" tint="-0.249977111117893"/>
        <rFont val="Calibri"/>
        <family val="2"/>
        <scheme val="minor"/>
      </rPr>
      <t xml:space="preserve"> </t>
    </r>
    <r>
      <rPr>
        <i/>
        <sz val="11"/>
        <color theme="5" tint="-0.249977111117893"/>
        <rFont val="Calibri"/>
        <family val="2"/>
        <scheme val="minor"/>
      </rPr>
      <t>Non IIJA Amount</t>
    </r>
  </si>
  <si>
    <r>
      <t xml:space="preserve">SFBWQIF  </t>
    </r>
    <r>
      <rPr>
        <i/>
        <sz val="11"/>
        <color theme="5" tint="-0.249977111117893"/>
        <rFont val="Calibri"/>
        <family val="2"/>
        <scheme val="minor"/>
      </rPr>
      <t>Bay Area Amount</t>
    </r>
  </si>
  <si>
    <r>
      <t xml:space="preserve">Species Recovery </t>
    </r>
    <r>
      <rPr>
        <i/>
        <sz val="11"/>
        <color theme="5" tint="-0.249977111117893"/>
        <rFont val="Calibri"/>
        <family val="2"/>
        <scheme val="minor"/>
      </rPr>
      <t>California Amount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</si>
</sst>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11"/>
      <name val="Calibri"/>
      <family val="2"/>
      <scheme val="minor"/>
    </font>
    <font>
      <b/>
      <i/>
      <sz val="11"/>
      <color theme="1"/>
      <name val="Calibri"/>
      <family val="2"/>
      <scheme val="minor"/>
    </font>
    <font>
      <sz val="8"/>
      <name val="Calibri"/>
      <family val="2"/>
      <scheme val="minor"/>
    </font>
    <font>
      <b/>
      <sz val="11"/>
      <color theme="0"/>
      <name val="Calibri"/>
      <family val="2"/>
      <scheme val="minor"/>
    </font>
    <font>
      <sz val="10"/>
      <name val="Calibri"/>
      <family val="2"/>
      <scheme val="minor"/>
    </font>
    <font>
      <b/>
      <sz val="18"/>
      <color theme="1"/>
      <name val="Calibri"/>
      <family val="2"/>
      <scheme val="minor"/>
    </font>
    <font>
      <sz val="10"/>
      <color theme="0" tint="-0.249977111117893"/>
      <name val="Calibri"/>
      <family val="2"/>
      <scheme val="minor"/>
    </font>
    <font>
      <b/>
      <sz val="10"/>
      <color theme="1"/>
      <name val="Calibri"/>
      <family val="2"/>
      <scheme val="minor"/>
    </font>
    <font>
      <u/>
      <sz val="11"/>
      <color theme="10"/>
      <name val="Calibri"/>
      <family val="2"/>
      <scheme val="minor"/>
    </font>
    <font>
      <b/>
      <sz val="10"/>
      <name val="Calibri"/>
      <family val="2"/>
      <scheme val="minor"/>
    </font>
    <font>
      <b/>
      <sz val="16"/>
      <color theme="1"/>
      <name val="Calibri"/>
      <family val="2"/>
      <scheme val="minor"/>
    </font>
    <font>
      <sz val="11"/>
      <color theme="0" tint="-0.249977111117893"/>
      <name val="Calibri"/>
      <family val="2"/>
      <scheme val="minor"/>
    </font>
    <font>
      <b/>
      <sz val="10"/>
      <color theme="5" tint="-0.249977111117893"/>
      <name val="Calibri"/>
      <family val="2"/>
      <scheme val="minor"/>
    </font>
    <font>
      <sz val="11"/>
      <color theme="5" tint="-0.249977111117893"/>
      <name val="Calibri"/>
      <family val="2"/>
      <scheme val="minor"/>
    </font>
    <font>
      <sz val="11"/>
      <color theme="0"/>
      <name val="Calibri"/>
      <family val="2"/>
      <scheme val="minor"/>
    </font>
    <font>
      <b/>
      <sz val="20"/>
      <color rgb="FF000000"/>
      <name val="Raleway Black"/>
      <family val="2"/>
    </font>
    <font>
      <sz val="18"/>
      <color theme="1"/>
      <name val="Raleway"/>
      <family val="2"/>
    </font>
    <font>
      <b/>
      <sz val="16"/>
      <color theme="0"/>
      <name val="Calibri"/>
      <family val="2"/>
      <scheme val="minor"/>
    </font>
    <font>
      <b/>
      <sz val="18"/>
      <color theme="0"/>
      <name val="Calibri"/>
      <family val="2"/>
      <scheme val="minor"/>
    </font>
    <font>
      <b/>
      <sz val="16"/>
      <name val="Calibri"/>
      <family val="2"/>
      <scheme val="minor"/>
    </font>
    <font>
      <b/>
      <i/>
      <sz val="16"/>
      <name val="Calibri"/>
      <family val="2"/>
      <scheme val="minor"/>
    </font>
    <font>
      <b/>
      <sz val="11"/>
      <name val="Calibri"/>
      <family val="2"/>
      <scheme val="minor"/>
    </font>
    <font>
      <i/>
      <sz val="11"/>
      <color theme="5" tint="-0.249977111117893"/>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s>
  <borders count="27">
    <border>
      <left/>
      <right/>
      <top/>
      <bottom/>
      <diagonal/>
    </border>
    <border>
      <left/>
      <right/>
      <top/>
      <bottom style="double">
        <color indexed="64"/>
      </bottom>
      <diagonal/>
    </border>
    <border>
      <left/>
      <right/>
      <top/>
      <bottom style="thin">
        <color indexed="64"/>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thick">
        <color theme="0"/>
      </right>
      <top style="thick">
        <color theme="0"/>
      </top>
      <bottom style="double">
        <color indexed="64"/>
      </bottom>
      <diagonal/>
    </border>
    <border>
      <left/>
      <right/>
      <top style="thin">
        <color indexed="64"/>
      </top>
      <bottom/>
      <diagonal/>
    </border>
    <border>
      <left style="thick">
        <color theme="0"/>
      </left>
      <right style="thick">
        <color theme="0"/>
      </right>
      <top style="thin">
        <color indexed="64"/>
      </top>
      <bottom style="thick">
        <color theme="0"/>
      </bottom>
      <diagonal/>
    </border>
    <border>
      <left style="thick">
        <color theme="0"/>
      </left>
      <right style="thick">
        <color theme="0"/>
      </right>
      <top style="thick">
        <color theme="0"/>
      </top>
      <bottom style="thin">
        <color indexed="64"/>
      </bottom>
      <diagonal/>
    </border>
    <border>
      <left style="thick">
        <color theme="0"/>
      </left>
      <right style="thick">
        <color theme="0"/>
      </right>
      <top/>
      <bottom/>
      <diagonal/>
    </border>
    <border>
      <left/>
      <right style="thick">
        <color theme="0"/>
      </right>
      <top/>
      <bottom/>
      <diagonal/>
    </border>
    <border>
      <left style="thick">
        <color theme="0"/>
      </left>
      <right style="thick">
        <color theme="0"/>
      </right>
      <top style="thick">
        <color theme="0"/>
      </top>
      <bottom/>
      <diagonal/>
    </border>
    <border>
      <left/>
      <right style="thick">
        <color theme="0"/>
      </right>
      <top/>
      <bottom style="thin">
        <color indexed="64"/>
      </bottom>
      <diagonal/>
    </border>
    <border>
      <left/>
      <right style="thick">
        <color theme="0"/>
      </right>
      <top style="thin">
        <color indexed="64"/>
      </top>
      <bottom/>
      <diagonal/>
    </border>
    <border>
      <left style="thick">
        <color theme="0"/>
      </left>
      <right style="thick">
        <color theme="0"/>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theme="0"/>
      </left>
      <right style="thick">
        <color theme="0"/>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ck">
        <color theme="0"/>
      </right>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cellStyleXfs>
  <cellXfs count="222">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vertical="center"/>
    </xf>
    <xf numFmtId="0" fontId="7" fillId="0" borderId="0" xfId="0" applyFont="1"/>
    <xf numFmtId="9" fontId="1" fillId="0" borderId="4" xfId="2" applyFont="1" applyBorder="1" applyAlignment="1">
      <alignment horizontal="center" vertical="center"/>
    </xf>
    <xf numFmtId="0" fontId="2" fillId="0" borderId="0" xfId="0" applyFont="1" applyAlignment="1">
      <alignment wrapText="1"/>
    </xf>
    <xf numFmtId="0" fontId="2" fillId="0" borderId="2" xfId="0" applyFont="1" applyBorder="1" applyAlignment="1">
      <alignment wrapText="1"/>
    </xf>
    <xf numFmtId="0" fontId="2" fillId="0" borderId="2" xfId="0" applyFont="1" applyBorder="1" applyAlignment="1">
      <alignment horizontal="center" wrapText="1"/>
    </xf>
    <xf numFmtId="0" fontId="2" fillId="0" borderId="0" xfId="0" applyFont="1" applyAlignment="1">
      <alignment vertical="center"/>
    </xf>
    <xf numFmtId="165" fontId="1" fillId="0" borderId="0" xfId="2" applyNumberFormat="1" applyFont="1" applyBorder="1" applyAlignment="1">
      <alignment horizontal="center" vertical="center"/>
    </xf>
    <xf numFmtId="0" fontId="0" fillId="0" borderId="1" xfId="0" applyBorder="1" applyAlignment="1">
      <alignment vertical="center"/>
    </xf>
    <xf numFmtId="9" fontId="8" fillId="0" borderId="3" xfId="2" applyFont="1" applyBorder="1" applyAlignment="1">
      <alignment horizontal="center" vertical="center"/>
    </xf>
    <xf numFmtId="165" fontId="1" fillId="0" borderId="4" xfId="2" applyNumberFormat="1" applyFont="1" applyBorder="1" applyAlignment="1">
      <alignment horizontal="center" vertical="center"/>
    </xf>
    <xf numFmtId="0" fontId="8" fillId="0" borderId="3" xfId="0" applyFont="1" applyBorder="1" applyAlignment="1">
      <alignment vertical="center"/>
    </xf>
    <xf numFmtId="0" fontId="8" fillId="0" borderId="8" xfId="0" applyFont="1" applyBorder="1" applyAlignment="1">
      <alignment vertical="center"/>
    </xf>
    <xf numFmtId="0" fontId="2" fillId="0" borderId="2" xfId="0" applyFont="1" applyBorder="1"/>
    <xf numFmtId="165" fontId="8" fillId="5" borderId="3" xfId="0" quotePrefix="1" applyNumberFormat="1" applyFont="1" applyFill="1" applyBorder="1" applyAlignment="1">
      <alignment horizontal="center" vertical="center"/>
    </xf>
    <xf numFmtId="165" fontId="8" fillId="5" borderId="5" xfId="0" quotePrefix="1" applyNumberFormat="1" applyFont="1" applyFill="1" applyBorder="1" applyAlignment="1">
      <alignment horizontal="center" vertical="center"/>
    </xf>
    <xf numFmtId="9" fontId="1" fillId="0" borderId="5" xfId="2" applyFont="1" applyFill="1" applyBorder="1" applyAlignment="1">
      <alignment horizontal="center" vertical="center"/>
    </xf>
    <xf numFmtId="9" fontId="1" fillId="0" borderId="0" xfId="2" applyFont="1" applyFill="1" applyBorder="1" applyAlignment="1">
      <alignment horizontal="center" vertical="center"/>
    </xf>
    <xf numFmtId="165" fontId="1" fillId="0" borderId="0" xfId="2" applyNumberFormat="1" applyFont="1" applyFill="1" applyBorder="1" applyAlignment="1">
      <alignment horizontal="center" vertical="center"/>
    </xf>
    <xf numFmtId="165" fontId="8" fillId="0" borderId="0" xfId="0" quotePrefix="1" applyNumberFormat="1" applyFont="1" applyAlignment="1">
      <alignment horizontal="center" vertical="center"/>
    </xf>
    <xf numFmtId="165" fontId="8" fillId="0" borderId="6" xfId="0" quotePrefix="1" applyNumberFormat="1" applyFont="1" applyBorder="1" applyAlignment="1">
      <alignment horizontal="center" vertical="center"/>
    </xf>
    <xf numFmtId="165" fontId="8" fillId="0" borderId="1" xfId="0" quotePrefix="1" applyNumberFormat="1" applyFont="1" applyBorder="1" applyAlignment="1">
      <alignment horizontal="center" vertical="center"/>
    </xf>
    <xf numFmtId="165" fontId="0" fillId="6" borderId="3" xfId="0" quotePrefix="1" applyNumberFormat="1" applyFill="1" applyBorder="1" applyAlignment="1">
      <alignment horizontal="center" vertical="center"/>
    </xf>
    <xf numFmtId="0" fontId="8" fillId="7" borderId="6" xfId="0" applyFont="1" applyFill="1" applyBorder="1" applyAlignment="1">
      <alignment vertical="center"/>
    </xf>
    <xf numFmtId="0" fontId="8" fillId="7" borderId="0" xfId="0" applyFont="1" applyFill="1" applyAlignment="1">
      <alignment vertical="center"/>
    </xf>
    <xf numFmtId="0" fontId="0" fillId="7" borderId="0" xfId="0" applyFill="1" applyAlignment="1">
      <alignment horizontal="center" vertical="center"/>
    </xf>
    <xf numFmtId="0" fontId="8" fillId="0" borderId="14" xfId="0" applyFont="1" applyBorder="1" applyAlignment="1">
      <alignment vertical="center"/>
    </xf>
    <xf numFmtId="0" fontId="8" fillId="7" borderId="2" xfId="0" applyFont="1" applyFill="1" applyBorder="1" applyAlignment="1">
      <alignment vertical="center"/>
    </xf>
    <xf numFmtId="9" fontId="1" fillId="0" borderId="4" xfId="2" applyFont="1" applyFill="1" applyBorder="1" applyAlignment="1">
      <alignment horizontal="center" vertical="center"/>
    </xf>
    <xf numFmtId="0" fontId="16" fillId="0" borderId="0" xfId="4"/>
    <xf numFmtId="0" fontId="0" fillId="7" borderId="0" xfId="0" applyFill="1"/>
    <xf numFmtId="0" fontId="0" fillId="7" borderId="0" xfId="0" applyFill="1" applyAlignment="1">
      <alignment horizontal="center"/>
    </xf>
    <xf numFmtId="0" fontId="7" fillId="7" borderId="0" xfId="0" applyFont="1" applyFill="1"/>
    <xf numFmtId="9" fontId="0" fillId="7" borderId="0" xfId="0" applyNumberFormat="1" applyFill="1" applyAlignment="1">
      <alignment horizontal="center" vertical="center" wrapText="1"/>
    </xf>
    <xf numFmtId="9" fontId="0" fillId="7" borderId="19" xfId="0" applyNumberFormat="1" applyFill="1" applyBorder="1" applyAlignment="1">
      <alignment horizontal="center" vertical="center" wrapText="1"/>
    </xf>
    <xf numFmtId="2" fontId="5" fillId="7" borderId="0" xfId="0" applyNumberFormat="1" applyFont="1" applyFill="1" applyAlignment="1">
      <alignment horizontal="center"/>
    </xf>
    <xf numFmtId="2" fontId="5" fillId="7" borderId="1" xfId="0" applyNumberFormat="1" applyFont="1" applyFill="1" applyBorder="1" applyAlignment="1">
      <alignment horizontal="center"/>
    </xf>
    <xf numFmtId="0" fontId="0" fillId="7" borderId="6" xfId="0" applyFill="1" applyBorder="1" applyAlignment="1">
      <alignment horizontal="left" vertical="center"/>
    </xf>
    <xf numFmtId="0" fontId="0" fillId="7" borderId="13" xfId="0" applyFill="1" applyBorder="1" applyAlignment="1">
      <alignment vertical="center" wrapText="1"/>
    </xf>
    <xf numFmtId="0" fontId="0" fillId="7" borderId="2" xfId="0" applyFill="1" applyBorder="1" applyAlignment="1">
      <alignment horizontal="left" vertical="center" wrapText="1"/>
    </xf>
    <xf numFmtId="0" fontId="0" fillId="7" borderId="12" xfId="0" applyFill="1" applyBorder="1" applyAlignment="1">
      <alignment vertical="center" wrapText="1"/>
    </xf>
    <xf numFmtId="0" fontId="0" fillId="0" borderId="4" xfId="0"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165" fontId="8" fillId="5" borderId="4" xfId="0" quotePrefix="1" applyNumberFormat="1" applyFont="1" applyFill="1" applyBorder="1" applyAlignment="1">
      <alignment horizontal="center" vertical="center"/>
    </xf>
    <xf numFmtId="0" fontId="15" fillId="7" borderId="20" xfId="0" applyFont="1" applyFill="1" applyBorder="1" applyAlignment="1">
      <alignment horizontal="center"/>
    </xf>
    <xf numFmtId="0" fontId="15" fillId="7" borderId="21" xfId="0" applyFont="1" applyFill="1" applyBorder="1" applyAlignment="1">
      <alignment horizontal="center" wrapText="1"/>
    </xf>
    <xf numFmtId="0" fontId="5" fillId="7" borderId="0" xfId="0" applyFont="1" applyFill="1" applyAlignment="1">
      <alignment horizontal="center" vertical="center"/>
    </xf>
    <xf numFmtId="0" fontId="5" fillId="7" borderId="1" xfId="0" applyFont="1" applyFill="1" applyBorder="1" applyAlignment="1">
      <alignment horizontal="center" vertical="center"/>
    </xf>
    <xf numFmtId="0" fontId="15" fillId="7" borderId="20" xfId="0" applyFont="1" applyFill="1" applyBorder="1" applyAlignment="1">
      <alignment horizontal="center" wrapText="1"/>
    </xf>
    <xf numFmtId="0" fontId="16" fillId="0" borderId="0" xfId="4" applyAlignment="1">
      <alignment vertical="center"/>
    </xf>
    <xf numFmtId="9" fontId="8" fillId="0" borderId="3" xfId="2" quotePrefix="1" applyFont="1" applyBorder="1" applyAlignment="1">
      <alignment horizontal="center" vertical="center"/>
    </xf>
    <xf numFmtId="9" fontId="1" fillId="0" borderId="4" xfId="2" quotePrefix="1" applyFont="1" applyFill="1" applyBorder="1" applyAlignment="1">
      <alignment horizontal="center" vertical="center"/>
    </xf>
    <xf numFmtId="9" fontId="0" fillId="7" borderId="0" xfId="0" quotePrefix="1" applyNumberFormat="1" applyFill="1" applyAlignment="1">
      <alignment horizontal="center" vertical="center" wrapText="1"/>
    </xf>
    <xf numFmtId="165" fontId="1" fillId="0" borderId="4" xfId="2" quotePrefix="1" applyNumberFormat="1" applyFont="1" applyBorder="1" applyAlignment="1">
      <alignment horizontal="center" vertical="center"/>
    </xf>
    <xf numFmtId="0" fontId="0" fillId="0" borderId="22" xfId="0" applyBorder="1" applyAlignment="1">
      <alignment horizontal="center"/>
    </xf>
    <xf numFmtId="0" fontId="18" fillId="7" borderId="0" xfId="0" applyFont="1" applyFill="1" applyAlignment="1">
      <alignment horizontal="left"/>
    </xf>
    <xf numFmtId="0" fontId="0" fillId="7" borderId="0" xfId="0" applyFill="1" applyAlignment="1">
      <alignment horizontal="left"/>
    </xf>
    <xf numFmtId="165" fontId="1" fillId="0" borderId="0" xfId="2" quotePrefix="1" applyNumberFormat="1" applyFont="1" applyBorder="1" applyAlignment="1">
      <alignment horizontal="center" vertical="center"/>
    </xf>
    <xf numFmtId="165" fontId="1" fillId="0" borderId="19" xfId="2" applyNumberFormat="1" applyFont="1" applyBorder="1" applyAlignment="1">
      <alignment horizontal="center" vertical="center"/>
    </xf>
    <xf numFmtId="165" fontId="1" fillId="0" borderId="23" xfId="2" applyNumberFormat="1" applyFont="1" applyBorder="1" applyAlignment="1">
      <alignment horizontal="center" vertical="center"/>
    </xf>
    <xf numFmtId="165" fontId="2" fillId="0" borderId="0" xfId="2" applyNumberFormat="1" applyFont="1" applyFill="1" applyBorder="1" applyAlignment="1">
      <alignment horizontal="center" vertical="center"/>
    </xf>
    <xf numFmtId="0" fontId="2" fillId="0" borderId="1" xfId="0" applyFont="1" applyBorder="1" applyAlignment="1">
      <alignment vertical="center"/>
    </xf>
    <xf numFmtId="0" fontId="2" fillId="0" borderId="6" xfId="0" applyFont="1" applyBorder="1" applyAlignment="1">
      <alignment vertical="center"/>
    </xf>
    <xf numFmtId="0" fontId="0" fillId="0" borderId="2" xfId="0" applyBorder="1" applyAlignment="1">
      <alignment horizontal="left" vertical="center" wrapText="1"/>
    </xf>
    <xf numFmtId="0" fontId="0" fillId="0" borderId="12" xfId="0" applyBorder="1" applyAlignment="1">
      <alignment vertical="center" wrapText="1"/>
    </xf>
    <xf numFmtId="9" fontId="8" fillId="0" borderId="4" xfId="2" applyFont="1" applyBorder="1" applyAlignment="1">
      <alignment horizontal="center" vertical="center"/>
    </xf>
    <xf numFmtId="0" fontId="0" fillId="0" borderId="0" xfId="0" applyAlignment="1">
      <alignment vertical="top" wrapText="1"/>
    </xf>
    <xf numFmtId="0" fontId="9" fillId="0" borderId="2" xfId="0" applyFont="1" applyBorder="1" applyAlignment="1">
      <alignment vertical="center"/>
    </xf>
    <xf numFmtId="0" fontId="3" fillId="0" borderId="0" xfId="0" applyFont="1" applyAlignment="1">
      <alignment vertical="center"/>
    </xf>
    <xf numFmtId="0" fontId="0" fillId="0" borderId="2" xfId="0" applyBorder="1"/>
    <xf numFmtId="165" fontId="0" fillId="0" borderId="0" xfId="0" applyNumberFormat="1" applyAlignment="1">
      <alignment horizontal="center" vertical="center"/>
    </xf>
    <xf numFmtId="9" fontId="1" fillId="0" borderId="9" xfId="2" applyFont="1" applyFill="1" applyBorder="1" applyAlignment="1">
      <alignment horizontal="center" vertical="center"/>
    </xf>
    <xf numFmtId="0" fontId="0" fillId="7" borderId="3" xfId="0" applyFill="1" applyBorder="1" applyAlignment="1">
      <alignment vertical="center"/>
    </xf>
    <xf numFmtId="165" fontId="0" fillId="5" borderId="3" xfId="0" applyNumberFormat="1" applyFill="1" applyBorder="1" applyAlignment="1">
      <alignment horizontal="center" vertical="center"/>
    </xf>
    <xf numFmtId="0" fontId="0" fillId="7" borderId="0" xfId="0" applyFill="1" applyAlignment="1">
      <alignment vertical="center"/>
    </xf>
    <xf numFmtId="9" fontId="0" fillId="0" borderId="0" xfId="2" applyFont="1" applyAlignment="1">
      <alignment horizontal="center" vertical="center"/>
    </xf>
    <xf numFmtId="165" fontId="0" fillId="0" borderId="0" xfId="3" applyNumberFormat="1" applyFont="1" applyAlignment="1">
      <alignment horizontal="center" vertical="center"/>
    </xf>
    <xf numFmtId="0" fontId="8" fillId="0" borderId="0" xfId="0" applyFont="1" applyAlignment="1">
      <alignment vertical="center"/>
    </xf>
    <xf numFmtId="165" fontId="1" fillId="0" borderId="1" xfId="2" applyNumberFormat="1" applyFont="1" applyBorder="1" applyAlignment="1">
      <alignment horizontal="center" vertical="center"/>
    </xf>
    <xf numFmtId="0" fontId="16" fillId="0" borderId="0" xfId="4" applyAlignment="1">
      <alignment horizontal="left"/>
    </xf>
    <xf numFmtId="0" fontId="0" fillId="0" borderId="2" xfId="0" applyBorder="1" applyAlignment="1">
      <alignment horizontal="center" vertical="center" wrapText="1"/>
    </xf>
    <xf numFmtId="165" fontId="0" fillId="0" borderId="0" xfId="0" applyNumberFormat="1" applyAlignment="1">
      <alignment vertical="center"/>
    </xf>
    <xf numFmtId="164" fontId="5" fillId="0" borderId="0" xfId="1" applyNumberFormat="1" applyFont="1" applyBorder="1" applyAlignment="1">
      <alignment horizontal="center" vertical="center"/>
    </xf>
    <xf numFmtId="0" fontId="3" fillId="0" borderId="0" xfId="0" applyFont="1" applyAlignment="1">
      <alignment horizontal="center" vertical="center" textRotation="90"/>
    </xf>
    <xf numFmtId="0" fontId="13" fillId="0" borderId="0" xfId="0" applyFont="1" applyAlignment="1">
      <alignment vertical="center" wrapText="1"/>
    </xf>
    <xf numFmtId="164" fontId="0" fillId="0" borderId="0" xfId="1" applyNumberFormat="1" applyFont="1" applyAlignment="1">
      <alignment vertical="center"/>
    </xf>
    <xf numFmtId="164" fontId="0" fillId="0" borderId="1" xfId="1" applyNumberFormat="1" applyFont="1" applyBorder="1" applyAlignment="1">
      <alignment vertical="center"/>
    </xf>
    <xf numFmtId="0" fontId="0" fillId="0" borderId="1" xfId="0" quotePrefix="1" applyBorder="1" applyAlignment="1">
      <alignment horizontal="right" vertical="center"/>
    </xf>
    <xf numFmtId="166" fontId="0" fillId="0" borderId="0" xfId="2" applyNumberFormat="1" applyFont="1" applyBorder="1" applyAlignment="1">
      <alignment vertical="center"/>
    </xf>
    <xf numFmtId="164" fontId="0" fillId="0" borderId="0" xfId="1" applyNumberFormat="1" applyFont="1" applyFill="1" applyAlignment="1">
      <alignment vertical="center"/>
    </xf>
    <xf numFmtId="164" fontId="0" fillId="0" borderId="0" xfId="0" applyNumberFormat="1"/>
    <xf numFmtId="0" fontId="23" fillId="0" borderId="0" xfId="0" applyFont="1"/>
    <xf numFmtId="0" fontId="24" fillId="0" borderId="0" xfId="0" applyFont="1"/>
    <xf numFmtId="0" fontId="25" fillId="8" borderId="0" xfId="0" applyFont="1" applyFill="1"/>
    <xf numFmtId="0" fontId="0" fillId="8" borderId="0" xfId="0" applyFill="1"/>
    <xf numFmtId="0" fontId="0" fillId="8" borderId="0" xfId="0" applyFill="1" applyAlignment="1">
      <alignment horizontal="center"/>
    </xf>
    <xf numFmtId="0" fontId="2" fillId="0" borderId="0" xfId="0" applyFont="1"/>
    <xf numFmtId="164" fontId="2" fillId="0" borderId="0" xfId="1" applyNumberFormat="1" applyFont="1" applyBorder="1"/>
    <xf numFmtId="164" fontId="0" fillId="0" borderId="0" xfId="1" applyNumberFormat="1" applyFont="1" applyBorder="1"/>
    <xf numFmtId="0" fontId="11" fillId="0" borderId="0" xfId="0" applyFont="1"/>
    <xf numFmtId="164" fontId="11" fillId="0" borderId="0" xfId="1" applyNumberFormat="1" applyFont="1" applyBorder="1"/>
    <xf numFmtId="0" fontId="22" fillId="0" borderId="0" xfId="0" applyFont="1"/>
    <xf numFmtId="164" fontId="22" fillId="0" borderId="0" xfId="1" applyNumberFormat="1" applyFont="1" applyBorder="1"/>
    <xf numFmtId="0" fontId="2" fillId="4" borderId="2" xfId="0" applyFont="1" applyFill="1" applyBorder="1"/>
    <xf numFmtId="0" fontId="2" fillId="4" borderId="2" xfId="0" applyFont="1" applyFill="1" applyBorder="1" applyAlignment="1">
      <alignment horizontal="right"/>
    </xf>
    <xf numFmtId="0" fontId="15" fillId="7" borderId="0" xfId="0" applyFont="1" applyFill="1" applyAlignment="1">
      <alignment horizontal="center" vertical="center"/>
    </xf>
    <xf numFmtId="165" fontId="5" fillId="7" borderId="15" xfId="0" applyNumberFormat="1" applyFont="1" applyFill="1" applyBorder="1" applyAlignment="1">
      <alignment horizontal="center"/>
    </xf>
    <xf numFmtId="165" fontId="5" fillId="7" borderId="16" xfId="0" applyNumberFormat="1" applyFont="1" applyFill="1" applyBorder="1" applyAlignment="1">
      <alignment horizontal="center"/>
    </xf>
    <xf numFmtId="165" fontId="5" fillId="7" borderId="0" xfId="0" applyNumberFormat="1" applyFont="1" applyFill="1" applyAlignment="1">
      <alignment horizontal="center"/>
    </xf>
    <xf numFmtId="2" fontId="15" fillId="7" borderId="0" xfId="0" applyNumberFormat="1" applyFont="1" applyFill="1" applyAlignment="1">
      <alignment horizontal="center"/>
    </xf>
    <xf numFmtId="165" fontId="15" fillId="7" borderId="15" xfId="0" applyNumberFormat="1" applyFont="1" applyFill="1" applyBorder="1" applyAlignment="1">
      <alignment horizontal="center"/>
    </xf>
    <xf numFmtId="165" fontId="15" fillId="7" borderId="16" xfId="0" applyNumberFormat="1" applyFont="1" applyFill="1" applyBorder="1" applyAlignment="1">
      <alignment horizontal="center"/>
    </xf>
    <xf numFmtId="165" fontId="15" fillId="7" borderId="0" xfId="0" applyNumberFormat="1" applyFont="1" applyFill="1" applyAlignment="1">
      <alignment horizontal="center"/>
    </xf>
    <xf numFmtId="0" fontId="5" fillId="0" borderId="0" xfId="0" applyFont="1" applyAlignment="1">
      <alignment horizontal="center" vertical="center"/>
    </xf>
    <xf numFmtId="165" fontId="17" fillId="0" borderId="0" xfId="0" applyNumberFormat="1" applyFont="1" applyAlignment="1">
      <alignment horizontal="center"/>
    </xf>
    <xf numFmtId="165" fontId="5" fillId="7" borderId="25" xfId="0" applyNumberFormat="1" applyFont="1" applyFill="1" applyBorder="1" applyAlignment="1">
      <alignment horizontal="center"/>
    </xf>
    <xf numFmtId="165" fontId="5" fillId="7" borderId="24" xfId="0" applyNumberFormat="1" applyFont="1" applyFill="1" applyBorder="1" applyAlignment="1">
      <alignment horizontal="center"/>
    </xf>
    <xf numFmtId="165" fontId="5" fillId="7" borderId="1" xfId="0" applyNumberFormat="1" applyFont="1" applyFill="1" applyBorder="1" applyAlignment="1">
      <alignment horizontal="center"/>
    </xf>
    <xf numFmtId="2" fontId="14" fillId="7" borderId="0" xfId="0" applyNumberFormat="1" applyFont="1" applyFill="1" applyAlignment="1">
      <alignment horizontal="center"/>
    </xf>
    <xf numFmtId="165" fontId="14" fillId="7" borderId="15" xfId="0" applyNumberFormat="1" applyFont="1" applyFill="1" applyBorder="1" applyAlignment="1">
      <alignment horizontal="center"/>
    </xf>
    <xf numFmtId="165" fontId="14" fillId="7" borderId="16" xfId="0" applyNumberFormat="1" applyFont="1" applyFill="1" applyBorder="1" applyAlignment="1">
      <alignment horizontal="center"/>
    </xf>
    <xf numFmtId="165" fontId="14" fillId="7" borderId="0" xfId="0" applyNumberFormat="1" applyFont="1" applyFill="1" applyAlignment="1">
      <alignment horizontal="center"/>
    </xf>
    <xf numFmtId="0" fontId="19" fillId="0" borderId="0" xfId="0" applyFont="1"/>
    <xf numFmtId="0" fontId="14" fillId="7" borderId="15" xfId="0" applyFont="1" applyFill="1" applyBorder="1" applyAlignment="1">
      <alignment horizontal="center"/>
    </xf>
    <xf numFmtId="0" fontId="14" fillId="7" borderId="16" xfId="0" applyFont="1" applyFill="1" applyBorder="1" applyAlignment="1">
      <alignment horizontal="center"/>
    </xf>
    <xf numFmtId="0" fontId="14" fillId="7" borderId="0" xfId="0" applyFont="1" applyFill="1" applyAlignment="1">
      <alignment horizontal="center"/>
    </xf>
    <xf numFmtId="0" fontId="8" fillId="7" borderId="0" xfId="0" applyFont="1" applyFill="1"/>
    <xf numFmtId="0" fontId="12" fillId="7" borderId="0" xfId="0" applyFont="1" applyFill="1" applyAlignment="1">
      <alignment horizontal="center" wrapText="1"/>
    </xf>
    <xf numFmtId="0" fontId="8" fillId="9" borderId="0" xfId="0" applyFont="1" applyFill="1"/>
    <xf numFmtId="0" fontId="8" fillId="9" borderId="0" xfId="0" applyFont="1" applyFill="1" applyAlignment="1">
      <alignment horizontal="center"/>
    </xf>
    <xf numFmtId="0" fontId="27" fillId="7" borderId="0" xfId="0" applyFont="1" applyFill="1"/>
    <xf numFmtId="0" fontId="28" fillId="7" borderId="0" xfId="0" applyFont="1" applyFill="1"/>
    <xf numFmtId="0" fontId="7" fillId="0" borderId="0" xfId="0" applyFont="1" applyAlignment="1">
      <alignment wrapText="1"/>
    </xf>
    <xf numFmtId="0" fontId="16" fillId="0" borderId="0" xfId="4" applyAlignment="1">
      <alignment wrapText="1"/>
    </xf>
    <xf numFmtId="0" fontId="6" fillId="0" borderId="0" xfId="0" applyFont="1" applyAlignment="1">
      <alignment horizontal="left"/>
    </xf>
    <xf numFmtId="0" fontId="16" fillId="0" borderId="0" xfId="4" applyAlignment="1"/>
    <xf numFmtId="0" fontId="7" fillId="0" borderId="1" xfId="0" applyFont="1" applyBorder="1"/>
    <xf numFmtId="6" fontId="7" fillId="0" borderId="0" xfId="0" applyNumberFormat="1" applyFont="1" applyAlignment="1">
      <alignment vertical="center"/>
    </xf>
    <xf numFmtId="0" fontId="0" fillId="7" borderId="9" xfId="0" applyFill="1" applyBorder="1" applyAlignment="1">
      <alignment vertical="center"/>
    </xf>
    <xf numFmtId="0" fontId="8" fillId="7" borderId="14" xfId="0" applyFont="1" applyFill="1" applyBorder="1" applyAlignment="1">
      <alignment vertical="center"/>
    </xf>
    <xf numFmtId="0" fontId="4" fillId="0" borderId="0" xfId="0" applyFont="1" applyAlignment="1">
      <alignment vertical="center"/>
    </xf>
    <xf numFmtId="0" fontId="0" fillId="0" borderId="6" xfId="0" applyBorder="1" applyAlignment="1">
      <alignment horizontal="left"/>
    </xf>
    <xf numFmtId="9" fontId="8" fillId="0" borderId="4" xfId="2" applyFont="1" applyFill="1" applyBorder="1" applyAlignment="1">
      <alignment horizontal="center" vertical="center"/>
    </xf>
    <xf numFmtId="9" fontId="8" fillId="0" borderId="0" xfId="2" applyFont="1" applyBorder="1" applyAlignment="1">
      <alignment horizontal="center" vertical="center"/>
    </xf>
    <xf numFmtId="9" fontId="8" fillId="0" borderId="3" xfId="2" applyFont="1" applyFill="1" applyBorder="1" applyAlignment="1">
      <alignment horizontal="center" vertical="center"/>
    </xf>
    <xf numFmtId="9" fontId="8" fillId="0" borderId="5" xfId="2" applyFont="1" applyBorder="1" applyAlignment="1">
      <alignment horizontal="center" vertical="center"/>
    </xf>
    <xf numFmtId="0" fontId="29" fillId="0" borderId="0" xfId="0" applyFont="1"/>
    <xf numFmtId="164" fontId="29" fillId="0" borderId="0" xfId="1" applyNumberFormat="1" applyFont="1" applyBorder="1"/>
    <xf numFmtId="0" fontId="8" fillId="0" borderId="0" xfId="0" applyFont="1"/>
    <xf numFmtId="164" fontId="8" fillId="0" borderId="0" xfId="1" applyNumberFormat="1" applyFont="1" applyBorder="1"/>
    <xf numFmtId="164" fontId="8" fillId="0" borderId="0" xfId="1" applyNumberFormat="1" applyFont="1" applyBorder="1" applyAlignment="1">
      <alignment vertical="center"/>
    </xf>
    <xf numFmtId="3" fontId="8" fillId="0" borderId="0" xfId="0" applyNumberFormat="1" applyFont="1"/>
    <xf numFmtId="166" fontId="0" fillId="0" borderId="0" xfId="1" applyNumberFormat="1" applyFont="1" applyFill="1" applyAlignment="1">
      <alignment vertical="center"/>
    </xf>
    <xf numFmtId="166" fontId="0" fillId="0" borderId="0" xfId="0" applyNumberFormat="1"/>
    <xf numFmtId="166" fontId="0" fillId="0" borderId="1" xfId="0" applyNumberFormat="1" applyBorder="1" applyAlignment="1">
      <alignment vertical="center"/>
    </xf>
    <xf numFmtId="0" fontId="5" fillId="10" borderId="0" xfId="0" applyFont="1" applyFill="1" applyAlignment="1">
      <alignment horizontal="center" vertical="center"/>
    </xf>
    <xf numFmtId="165" fontId="8" fillId="10" borderId="6" xfId="0" quotePrefix="1" applyNumberFormat="1" applyFont="1" applyFill="1" applyBorder="1" applyAlignment="1">
      <alignment horizontal="center" vertical="center"/>
    </xf>
    <xf numFmtId="165" fontId="8" fillId="10" borderId="0" xfId="0" quotePrefix="1" applyNumberFormat="1" applyFont="1" applyFill="1" applyAlignment="1">
      <alignment horizontal="center" vertical="center"/>
    </xf>
    <xf numFmtId="165" fontId="8" fillId="10" borderId="1" xfId="0" quotePrefix="1" applyNumberFormat="1" applyFont="1" applyFill="1" applyBorder="1" applyAlignment="1">
      <alignment horizontal="center" vertical="center"/>
    </xf>
    <xf numFmtId="165" fontId="2" fillId="10" borderId="0" xfId="2" applyNumberFormat="1" applyFont="1" applyFill="1" applyBorder="1" applyAlignment="1">
      <alignment horizontal="center" vertical="center"/>
    </xf>
    <xf numFmtId="9" fontId="1" fillId="10" borderId="6" xfId="2" applyFont="1" applyFill="1" applyBorder="1" applyAlignment="1">
      <alignment horizontal="center" vertical="center"/>
    </xf>
    <xf numFmtId="9" fontId="1" fillId="10" borderId="0" xfId="2" applyFont="1" applyFill="1" applyBorder="1" applyAlignment="1">
      <alignment horizontal="center" vertical="center"/>
    </xf>
    <xf numFmtId="9" fontId="1" fillId="10" borderId="1" xfId="2" applyFont="1" applyFill="1" applyBorder="1" applyAlignment="1">
      <alignment horizontal="center" vertical="center"/>
    </xf>
    <xf numFmtId="165" fontId="2" fillId="10" borderId="0" xfId="0" applyNumberFormat="1" applyFont="1" applyFill="1" applyAlignment="1">
      <alignment horizontal="center" vertical="center"/>
    </xf>
    <xf numFmtId="9" fontId="2" fillId="10" borderId="0" xfId="2" quotePrefix="1" applyFont="1" applyFill="1" applyBorder="1" applyAlignment="1">
      <alignment horizontal="center" vertical="center"/>
    </xf>
    <xf numFmtId="9" fontId="1" fillId="0" borderId="3" xfId="2" applyFont="1" applyFill="1" applyBorder="1" applyAlignment="1">
      <alignment horizontal="center" vertical="center"/>
    </xf>
    <xf numFmtId="9" fontId="8" fillId="0" borderId="3" xfId="2" quotePrefix="1" applyFont="1" applyFill="1" applyBorder="1" applyAlignment="1">
      <alignment horizontal="center" vertical="center"/>
    </xf>
    <xf numFmtId="9" fontId="1" fillId="0" borderId="11" xfId="2" applyFont="1" applyFill="1" applyBorder="1" applyAlignment="1">
      <alignment horizontal="center" vertical="center"/>
    </xf>
    <xf numFmtId="165" fontId="8" fillId="2" borderId="4" xfId="0" quotePrefix="1" applyNumberFormat="1" applyFont="1" applyFill="1" applyBorder="1" applyAlignment="1">
      <alignment horizontal="center" vertical="center"/>
    </xf>
    <xf numFmtId="165" fontId="0" fillId="2" borderId="4" xfId="0" applyNumberFormat="1" applyFill="1" applyBorder="1" applyAlignment="1">
      <alignment horizontal="center" vertical="center"/>
    </xf>
    <xf numFmtId="165" fontId="0" fillId="2" borderId="3" xfId="0" applyNumberFormat="1" applyFill="1" applyBorder="1" applyAlignment="1">
      <alignment horizontal="center" vertical="center"/>
    </xf>
    <xf numFmtId="165" fontId="8" fillId="2" borderId="3" xfId="0" quotePrefix="1" applyNumberFormat="1" applyFont="1" applyFill="1" applyBorder="1" applyAlignment="1">
      <alignment horizontal="center" vertical="center"/>
    </xf>
    <xf numFmtId="165" fontId="8" fillId="2" borderId="3" xfId="0" applyNumberFormat="1" applyFont="1" applyFill="1" applyBorder="1" applyAlignment="1">
      <alignment horizontal="center" vertical="center"/>
    </xf>
    <xf numFmtId="165" fontId="0" fillId="2" borderId="3" xfId="0" quotePrefix="1" applyNumberFormat="1" applyFill="1" applyBorder="1" applyAlignment="1">
      <alignment horizontal="center" vertical="center"/>
    </xf>
    <xf numFmtId="165" fontId="0" fillId="2" borderId="11" xfId="0" applyNumberFormat="1" applyFill="1" applyBorder="1" applyAlignment="1">
      <alignment horizontal="center" vertical="center"/>
    </xf>
    <xf numFmtId="165" fontId="0" fillId="2" borderId="5" xfId="0" applyNumberFormat="1" applyFill="1" applyBorder="1" applyAlignment="1">
      <alignment horizontal="center" vertical="center"/>
    </xf>
    <xf numFmtId="165" fontId="3" fillId="2" borderId="3" xfId="0" quotePrefix="1" applyNumberFormat="1" applyFont="1" applyFill="1" applyBorder="1" applyAlignment="1">
      <alignment horizontal="center" vertical="center"/>
    </xf>
    <xf numFmtId="165" fontId="1" fillId="4" borderId="0" xfId="2" applyNumberFormat="1" applyFont="1" applyFill="1" applyBorder="1" applyAlignment="1">
      <alignment horizontal="center" vertical="center"/>
    </xf>
    <xf numFmtId="165" fontId="1" fillId="4" borderId="19" xfId="2" applyNumberFormat="1" applyFont="1" applyFill="1" applyBorder="1" applyAlignment="1">
      <alignment horizontal="center" vertical="center"/>
    </xf>
    <xf numFmtId="165" fontId="2" fillId="11" borderId="0" xfId="2" applyNumberFormat="1" applyFont="1" applyFill="1" applyBorder="1" applyAlignment="1">
      <alignment horizontal="center" vertical="center"/>
    </xf>
    <xf numFmtId="0" fontId="0" fillId="0" borderId="0" xfId="0" applyAlignment="1">
      <alignment horizontal="left" vertical="top" wrapText="1"/>
    </xf>
    <xf numFmtId="0" fontId="25" fillId="8" borderId="0" xfId="0" applyFont="1" applyFill="1" applyAlignment="1">
      <alignment horizontal="left"/>
    </xf>
    <xf numFmtId="0" fontId="16" fillId="0" borderId="0" xfId="4" applyAlignment="1">
      <alignment horizontal="left"/>
    </xf>
    <xf numFmtId="0" fontId="0" fillId="0" borderId="0" xfId="0" applyAlignment="1">
      <alignment horizontal="left"/>
    </xf>
    <xf numFmtId="0" fontId="26" fillId="8" borderId="0" xfId="0" applyFont="1" applyFill="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0" fillId="0" borderId="13"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0" fillId="0" borderId="13" xfId="0" applyBorder="1" applyAlignment="1">
      <alignment horizontal="center" vertical="center"/>
    </xf>
    <xf numFmtId="0" fontId="0" fillId="0" borderId="12" xfId="0" applyBorder="1" applyAlignment="1">
      <alignment horizontal="center" vertical="center"/>
    </xf>
    <xf numFmtId="0" fontId="12" fillId="2" borderId="2" xfId="0" applyFont="1" applyFill="1" applyBorder="1" applyAlignment="1">
      <alignment horizontal="center" wrapText="1"/>
    </xf>
    <xf numFmtId="0" fontId="8" fillId="2" borderId="2" xfId="0" applyFont="1" applyFill="1" applyBorder="1" applyAlignment="1">
      <alignment horizontal="center"/>
    </xf>
    <xf numFmtId="0" fontId="8" fillId="2" borderId="0" xfId="0" applyFont="1" applyFill="1" applyAlignment="1">
      <alignment horizontal="center"/>
    </xf>
    <xf numFmtId="0" fontId="8" fillId="4" borderId="0" xfId="0" applyFont="1" applyFill="1" applyAlignment="1">
      <alignment horizontal="center"/>
    </xf>
    <xf numFmtId="0" fontId="8" fillId="3" borderId="0" xfId="0" applyFont="1" applyFill="1" applyAlignment="1">
      <alignment horizontal="center"/>
    </xf>
    <xf numFmtId="0" fontId="8" fillId="4" borderId="2" xfId="0" applyFont="1" applyFill="1" applyBorder="1" applyAlignment="1">
      <alignment horizontal="center"/>
    </xf>
    <xf numFmtId="0" fontId="8" fillId="9" borderId="2" xfId="0" applyFont="1" applyFill="1" applyBorder="1" applyAlignment="1">
      <alignment horizontal="center"/>
    </xf>
    <xf numFmtId="0" fontId="8" fillId="3" borderId="2" xfId="0" applyFont="1" applyFill="1" applyBorder="1" applyAlignment="1">
      <alignment horizontal="center"/>
    </xf>
  </cellXfs>
  <cellStyles count="5">
    <cellStyle name="Comma" xfId="1" builtinId="3"/>
    <cellStyle name="Currency" xfId="3" builtinId="4"/>
    <cellStyle name="Hyperlink" xfId="4" builtinId="8"/>
    <cellStyle name="Normal" xfId="0" builtinId="0"/>
    <cellStyle name="Percent" xfId="2" builtinId="5"/>
  </cellStyles>
  <dxfs count="0"/>
  <tableStyles count="1" defaultTableStyle="TableStyleMedium2" defaultPivotStyle="PivotStyleLight16">
    <tableStyle name="Table Style 1" pivot="0" count="0" xr9:uid="{B7A400FB-6DD1-4308-8878-5023FB43FF9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germeraad@bayareametro.gov" TargetMode="External"/><Relationship Id="rId1" Type="http://schemas.openxmlformats.org/officeDocument/2006/relationships/hyperlink" Target="mailto:rhartofelis@bayareametro.gov"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everycrsreport.com/files/20200416_R45484_ec8ad792a9ace7a6324bf395ce72ff4c70c0d8a5.pdf" TargetMode="External"/><Relationship Id="rId7" Type="http://schemas.openxmlformats.org/officeDocument/2006/relationships/printerSettings" Target="../printerSettings/printerSettings2.bin"/><Relationship Id="rId2" Type="http://schemas.openxmlformats.org/officeDocument/2006/relationships/hyperlink" Target="https://coast.noaa.gov/resilience-grant/" TargetMode="External"/><Relationship Id="rId1" Type="http://schemas.openxmlformats.org/officeDocument/2006/relationships/hyperlink" Target="https://bgrdc.com/infrastructure-investment-and-jobs-act-resiliency-and-environmental-remediation/" TargetMode="External"/><Relationship Id="rId6" Type="http://schemas.openxmlformats.org/officeDocument/2006/relationships/hyperlink" Target="https://bondaccountability.resources.ca.gov/p1.aspxPage%20117%20-%20CA%2022/23%20State%20Budget%20Floor%20Report%20Oct%206" TargetMode="External"/><Relationship Id="rId5" Type="http://schemas.openxmlformats.org/officeDocument/2006/relationships/hyperlink" Target="https://www.sfbayrestore.org/sites/default/files/2022-02/SFBRA%20FY21%20Financial%20Report_FINAL%20DRAFT%20%28SECURED%29.pdf" TargetMode="External"/><Relationship Id="rId4" Type="http://schemas.openxmlformats.org/officeDocument/2006/relationships/hyperlink" Target="https://www.conservation.ca.gov/dlrp/grant-programs/SALCP/Documents/FY%202018-19%20Awarded%20Projects%20List.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ensus.gov/quickfacts/fact/table/US/PST0452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5A7D2-BC09-469D-9255-93F7BA45F461}">
  <dimension ref="A1:M23"/>
  <sheetViews>
    <sheetView tabSelected="1" zoomScale="90" zoomScaleNormal="90" workbookViewId="0">
      <selection activeCell="A10" sqref="A10:D10"/>
    </sheetView>
  </sheetViews>
  <sheetFormatPr defaultColWidth="0" defaultRowHeight="15" zeroHeight="1" x14ac:dyDescent="0.25"/>
  <cols>
    <col min="1" max="1" width="5.140625" customWidth="1"/>
    <col min="2" max="2" width="27.7109375" customWidth="1"/>
    <col min="3" max="3" width="26.5703125" customWidth="1"/>
    <col min="4" max="4" width="108.85546875" customWidth="1"/>
    <col min="5" max="13" width="0" hidden="1" customWidth="1"/>
    <col min="14" max="16384" width="9.140625" hidden="1"/>
  </cols>
  <sheetData>
    <row r="1" spans="1:13" ht="25.5" x14ac:dyDescent="0.35">
      <c r="A1" s="100" t="s">
        <v>229</v>
      </c>
      <c r="B1" s="100"/>
      <c r="C1" s="100"/>
      <c r="D1" s="100"/>
      <c r="E1" s="100"/>
      <c r="F1" s="100"/>
      <c r="G1" s="100"/>
      <c r="H1" s="100"/>
      <c r="I1" s="100"/>
      <c r="J1" s="100"/>
      <c r="K1" s="100"/>
      <c r="L1" s="100"/>
    </row>
    <row r="2" spans="1:13" ht="23.25" customHeight="1" x14ac:dyDescent="0.35">
      <c r="A2" s="101" t="s">
        <v>0</v>
      </c>
      <c r="B2" s="101"/>
      <c r="C2" s="101"/>
      <c r="D2" s="101"/>
      <c r="E2" s="101"/>
      <c r="F2" s="101"/>
      <c r="G2" s="101"/>
      <c r="H2" s="101"/>
      <c r="I2" s="101"/>
      <c r="J2" s="101"/>
      <c r="K2" s="101"/>
      <c r="L2" s="101"/>
    </row>
    <row r="3" spans="1:13" x14ac:dyDescent="0.25">
      <c r="A3" t="s">
        <v>228</v>
      </c>
    </row>
    <row r="4" spans="1:13" x14ac:dyDescent="0.25"/>
    <row r="5" spans="1:13" ht="21" x14ac:dyDescent="0.35">
      <c r="A5" s="102" t="s">
        <v>230</v>
      </c>
      <c r="B5" s="103"/>
      <c r="C5" s="103"/>
      <c r="D5" s="104"/>
    </row>
    <row r="6" spans="1:13" x14ac:dyDescent="0.25"/>
    <row r="7" spans="1:13" ht="83.25" customHeight="1" x14ac:dyDescent="0.25">
      <c r="A7" s="189" t="s">
        <v>231</v>
      </c>
      <c r="B7" s="189"/>
      <c r="C7" s="189"/>
      <c r="D7" s="189"/>
      <c r="E7" s="75"/>
      <c r="F7" s="75"/>
      <c r="G7" s="75"/>
      <c r="H7" s="75"/>
      <c r="I7" s="75"/>
      <c r="J7" s="75"/>
      <c r="K7" s="75"/>
      <c r="L7" s="75"/>
    </row>
    <row r="8" spans="1:13" x14ac:dyDescent="0.25"/>
    <row r="9" spans="1:13" ht="21" x14ac:dyDescent="0.35">
      <c r="A9" s="190" t="s">
        <v>1</v>
      </c>
      <c r="B9" s="190"/>
      <c r="C9" s="190"/>
      <c r="D9" s="190"/>
    </row>
    <row r="10" spans="1:13" ht="144.75" customHeight="1" x14ac:dyDescent="0.25">
      <c r="A10" s="189" t="s">
        <v>243</v>
      </c>
      <c r="B10" s="189"/>
      <c r="C10" s="189"/>
      <c r="D10" s="189"/>
      <c r="E10" s="75"/>
      <c r="F10" s="75"/>
      <c r="G10" s="75"/>
      <c r="H10" s="75"/>
      <c r="I10" s="75"/>
      <c r="J10" s="75"/>
      <c r="K10" s="75"/>
      <c r="L10" s="75"/>
      <c r="M10" s="75"/>
    </row>
    <row r="11" spans="1:13" s="2" customFormat="1" ht="17.45" customHeight="1" x14ac:dyDescent="0.25">
      <c r="A11" s="193" t="s">
        <v>232</v>
      </c>
      <c r="B11" s="193"/>
      <c r="C11" s="193"/>
      <c r="D11" s="193"/>
    </row>
    <row r="12" spans="1:13" s="2" customFormat="1" ht="18.95" customHeight="1" x14ac:dyDescent="0.25">
      <c r="A12" s="10"/>
      <c r="B12" s="76" t="s">
        <v>2</v>
      </c>
      <c r="C12" s="76" t="s">
        <v>3</v>
      </c>
      <c r="D12" s="76"/>
    </row>
    <row r="13" spans="1:13" s="2" customFormat="1" ht="18.95" customHeight="1" x14ac:dyDescent="0.25">
      <c r="B13" s="2" t="s">
        <v>242</v>
      </c>
      <c r="C13" s="2" t="s">
        <v>5</v>
      </c>
    </row>
    <row r="14" spans="1:13" s="2" customFormat="1" ht="18.95" customHeight="1" x14ac:dyDescent="0.25">
      <c r="B14" s="2" t="s">
        <v>6</v>
      </c>
      <c r="C14" s="2" t="s">
        <v>7</v>
      </c>
    </row>
    <row r="15" spans="1:13" s="2" customFormat="1" ht="18.95" customHeight="1" x14ac:dyDescent="0.25">
      <c r="B15" s="2" t="s">
        <v>8</v>
      </c>
      <c r="C15" s="2" t="s">
        <v>253</v>
      </c>
    </row>
    <row r="16" spans="1:13" s="2" customFormat="1" ht="18.95" customHeight="1" thickBot="1" x14ac:dyDescent="0.3">
      <c r="A16" s="92"/>
      <c r="B16" s="12" t="s">
        <v>218</v>
      </c>
      <c r="C16" s="12" t="s">
        <v>219</v>
      </c>
      <c r="D16" s="12"/>
    </row>
    <row r="17" spans="1:3" ht="15.75" thickTop="1" x14ac:dyDescent="0.25"/>
    <row r="18" spans="1:3" x14ac:dyDescent="0.25">
      <c r="A18" s="17" t="s">
        <v>245</v>
      </c>
      <c r="B18" s="17"/>
      <c r="C18" s="78"/>
    </row>
    <row r="19" spans="1:3" x14ac:dyDescent="0.25">
      <c r="A19" s="150" t="s">
        <v>9</v>
      </c>
      <c r="B19" s="150"/>
      <c r="C19" s="150"/>
    </row>
    <row r="20" spans="1:3" x14ac:dyDescent="0.25">
      <c r="A20" s="191" t="s">
        <v>10</v>
      </c>
      <c r="B20" s="191"/>
      <c r="C20" s="191"/>
    </row>
    <row r="21" spans="1:3" x14ac:dyDescent="0.25">
      <c r="A21" s="88"/>
      <c r="B21" s="88"/>
      <c r="C21" s="88"/>
    </row>
    <row r="22" spans="1:3" x14ac:dyDescent="0.25">
      <c r="A22" s="192" t="s">
        <v>11</v>
      </c>
      <c r="B22" s="192"/>
      <c r="C22" s="192"/>
    </row>
    <row r="23" spans="1:3" x14ac:dyDescent="0.25">
      <c r="A23" s="191" t="s">
        <v>12</v>
      </c>
      <c r="B23" s="191"/>
      <c r="C23" s="191"/>
    </row>
  </sheetData>
  <mergeCells count="7">
    <mergeCell ref="A7:D7"/>
    <mergeCell ref="A9:D9"/>
    <mergeCell ref="A23:C23"/>
    <mergeCell ref="A22:C22"/>
    <mergeCell ref="A20:C20"/>
    <mergeCell ref="A11:D11"/>
    <mergeCell ref="A10:D10"/>
  </mergeCells>
  <hyperlinks>
    <hyperlink ref="A20" r:id="rId1" xr:uid="{4018E1E7-95BD-4FE2-BA90-A60CB88F10B0}"/>
    <hyperlink ref="A23" r:id="rId2" xr:uid="{0C34CD06-A578-45F3-BD1F-A83A70966EF4}"/>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14A0C-B47F-44E9-B2E6-8EBC73A3629E}">
  <sheetPr>
    <tabColor theme="9"/>
  </sheetPr>
  <dimension ref="B1:X69"/>
  <sheetViews>
    <sheetView showGridLines="0" zoomScale="60" zoomScaleNormal="60" workbookViewId="0">
      <pane ySplit="5" topLeftCell="A6" activePane="bottomLeft" state="frozen"/>
      <selection activeCell="D1" sqref="D1"/>
      <selection pane="bottomLeft" activeCell="E44" sqref="E44"/>
    </sheetView>
  </sheetViews>
  <sheetFormatPr defaultRowHeight="15" x14ac:dyDescent="0.25"/>
  <cols>
    <col min="2" max="2" width="10.85546875" style="1" customWidth="1"/>
    <col min="3" max="3" width="22.140625" customWidth="1"/>
    <col min="4" max="4" width="20.5703125" customWidth="1"/>
    <col min="5" max="5" width="68.85546875" customWidth="1"/>
    <col min="6" max="10" width="15.28515625" style="3" customWidth="1"/>
    <col min="11" max="15" width="13.85546875" style="1" customWidth="1"/>
    <col min="16" max="21" width="16.140625" style="1" customWidth="1"/>
    <col min="22" max="22" width="46.85546875" style="5" customWidth="1"/>
    <col min="23" max="23" width="35.85546875" customWidth="1"/>
    <col min="24" max="24" width="9.140625" customWidth="1"/>
  </cols>
  <sheetData>
    <row r="1" spans="2:24" ht="21" x14ac:dyDescent="0.35">
      <c r="B1" s="64" t="s">
        <v>13</v>
      </c>
      <c r="C1" s="34"/>
      <c r="D1" s="34"/>
      <c r="E1" s="34"/>
      <c r="F1" s="29"/>
      <c r="G1" s="29"/>
      <c r="H1" s="29"/>
      <c r="I1" s="29"/>
      <c r="J1" s="29"/>
      <c r="K1" s="35"/>
      <c r="L1" s="35"/>
      <c r="M1" s="35"/>
      <c r="N1" s="35"/>
      <c r="O1" s="35"/>
      <c r="P1" s="35"/>
      <c r="Q1" s="35"/>
      <c r="R1" s="35"/>
      <c r="S1" s="35"/>
      <c r="T1" s="35"/>
      <c r="U1" s="35"/>
      <c r="V1" s="36"/>
      <c r="W1" s="34"/>
      <c r="X1" s="34"/>
    </row>
    <row r="2" spans="2:24" x14ac:dyDescent="0.25">
      <c r="B2" s="65" t="s">
        <v>255</v>
      </c>
      <c r="C2" s="34"/>
      <c r="D2" s="34"/>
      <c r="E2" s="34"/>
      <c r="F2" s="29"/>
      <c r="G2" s="29"/>
      <c r="H2" s="29"/>
      <c r="I2" s="29"/>
      <c r="J2" s="29"/>
      <c r="K2" s="35"/>
      <c r="L2" s="35"/>
      <c r="M2" s="35"/>
      <c r="N2" s="35"/>
      <c r="O2" s="35"/>
      <c r="P2" s="35"/>
      <c r="Q2" s="35"/>
      <c r="R2" s="35"/>
      <c r="S2" s="35"/>
      <c r="T2" s="35"/>
      <c r="U2" s="35"/>
      <c r="V2" s="36"/>
      <c r="W2" s="34"/>
      <c r="X2" s="34"/>
    </row>
    <row r="3" spans="2:24" x14ac:dyDescent="0.25">
      <c r="B3" s="65"/>
      <c r="C3" s="34"/>
      <c r="D3" s="34"/>
      <c r="E3" s="34"/>
      <c r="F3" s="29"/>
      <c r="G3" s="29"/>
      <c r="H3" s="29"/>
      <c r="I3" s="29"/>
      <c r="J3" s="29"/>
      <c r="K3" s="35"/>
      <c r="L3" s="35"/>
      <c r="M3" s="35"/>
      <c r="N3" s="35"/>
      <c r="O3" s="35"/>
      <c r="P3" s="35"/>
      <c r="Q3" s="35"/>
      <c r="R3" s="35"/>
      <c r="S3" s="35"/>
      <c r="T3" s="35"/>
      <c r="U3" s="35"/>
      <c r="V3" s="36"/>
      <c r="W3" s="34"/>
      <c r="X3" s="34"/>
    </row>
    <row r="4" spans="2:24" ht="18.95" customHeight="1" x14ac:dyDescent="0.25">
      <c r="B4" s="35"/>
      <c r="C4" s="34"/>
      <c r="D4" s="34"/>
      <c r="E4" s="34"/>
      <c r="F4" s="194" t="s">
        <v>254</v>
      </c>
      <c r="G4" s="196"/>
      <c r="H4" s="196"/>
      <c r="I4" s="196"/>
      <c r="J4" s="195"/>
      <c r="L4" s="194" t="s">
        <v>14</v>
      </c>
      <c r="M4" s="195"/>
      <c r="N4" s="194" t="s">
        <v>14</v>
      </c>
      <c r="O4" s="195"/>
      <c r="P4" s="63" t="s">
        <v>4</v>
      </c>
      <c r="Q4" s="63" t="s">
        <v>4</v>
      </c>
      <c r="R4" s="63" t="s">
        <v>4</v>
      </c>
      <c r="S4" s="63" t="s">
        <v>4</v>
      </c>
    </row>
    <row r="5" spans="2:24" s="7" customFormat="1" ht="63.75" customHeight="1" thickBot="1" x14ac:dyDescent="0.3">
      <c r="B5" s="9"/>
      <c r="C5" s="8" t="s">
        <v>15</v>
      </c>
      <c r="D5" s="8" t="s">
        <v>16</v>
      </c>
      <c r="E5" s="8" t="s">
        <v>17</v>
      </c>
      <c r="F5" s="9" t="s">
        <v>205</v>
      </c>
      <c r="G5" s="9" t="s">
        <v>18</v>
      </c>
      <c r="H5" s="9" t="s">
        <v>19</v>
      </c>
      <c r="I5" s="9" t="s">
        <v>20</v>
      </c>
      <c r="J5" s="9" t="s">
        <v>21</v>
      </c>
      <c r="K5" s="9" t="s">
        <v>22</v>
      </c>
      <c r="L5" s="9" t="s">
        <v>23</v>
      </c>
      <c r="M5" s="9" t="s">
        <v>24</v>
      </c>
      <c r="N5" s="9" t="s">
        <v>25</v>
      </c>
      <c r="O5" s="9" t="s">
        <v>26</v>
      </c>
      <c r="P5" s="9" t="s">
        <v>27</v>
      </c>
      <c r="Q5" s="9" t="s">
        <v>28</v>
      </c>
      <c r="R5" s="9" t="s">
        <v>198</v>
      </c>
      <c r="S5" s="9" t="s">
        <v>29</v>
      </c>
      <c r="T5" s="9" t="s">
        <v>30</v>
      </c>
      <c r="U5" s="9" t="s">
        <v>195</v>
      </c>
      <c r="V5" s="8" t="s">
        <v>15</v>
      </c>
      <c r="W5" s="8" t="s">
        <v>31</v>
      </c>
    </row>
    <row r="6" spans="2:24" s="7" customFormat="1" ht="27" customHeight="1" thickTop="1" thickBot="1" x14ac:dyDescent="0.3">
      <c r="B6" s="209" t="s">
        <v>32</v>
      </c>
      <c r="C6" s="205" t="s">
        <v>33</v>
      </c>
      <c r="D6" s="41" t="s">
        <v>34</v>
      </c>
      <c r="E6" s="42" t="s">
        <v>204</v>
      </c>
      <c r="F6" s="180">
        <v>425</v>
      </c>
      <c r="G6" s="18" t="s">
        <v>35</v>
      </c>
      <c r="H6" s="18" t="s">
        <v>35</v>
      </c>
      <c r="I6" s="18" t="s">
        <v>35</v>
      </c>
      <c r="J6" s="52">
        <f>SUM(F6:I6)</f>
        <v>425</v>
      </c>
      <c r="K6" s="6">
        <v>1</v>
      </c>
      <c r="L6" s="32">
        <v>1</v>
      </c>
      <c r="M6" s="32">
        <f>1-L6</f>
        <v>0</v>
      </c>
      <c r="N6" s="32">
        <v>1</v>
      </c>
      <c r="O6" s="37">
        <f>1-N6</f>
        <v>0</v>
      </c>
      <c r="P6" s="14">
        <f>J6*L6*K6*N6</f>
        <v>425</v>
      </c>
      <c r="Q6" s="14">
        <f>J6*M6*K6*N6</f>
        <v>0</v>
      </c>
      <c r="R6" s="186">
        <f>SUM(P6,Q6)</f>
        <v>425</v>
      </c>
      <c r="S6" s="11">
        <f>J6*K6</f>
        <v>425</v>
      </c>
      <c r="T6" s="11" t="str">
        <f>IF(L6&gt;50%,"Implementation","Planning")</f>
        <v>Implementation</v>
      </c>
      <c r="U6" s="11"/>
      <c r="V6" s="141" t="s">
        <v>234</v>
      </c>
    </row>
    <row r="7" spans="2:24" s="7" customFormat="1" ht="27" customHeight="1" thickTop="1" thickBot="1" x14ac:dyDescent="0.3">
      <c r="B7" s="210"/>
      <c r="C7" s="206"/>
      <c r="D7" s="43" t="s">
        <v>36</v>
      </c>
      <c r="E7" s="44" t="s">
        <v>204</v>
      </c>
      <c r="F7" s="180">
        <v>90</v>
      </c>
      <c r="G7" s="18" t="s">
        <v>35</v>
      </c>
      <c r="H7" s="18" t="s">
        <v>35</v>
      </c>
      <c r="I7" s="18" t="s">
        <v>35</v>
      </c>
      <c r="J7" s="52">
        <f t="shared" ref="J7:J63" si="0">SUM(F7:I7)</f>
        <v>90</v>
      </c>
      <c r="K7" s="6">
        <v>1</v>
      </c>
      <c r="L7" s="32">
        <v>1</v>
      </c>
      <c r="M7" s="32">
        <f t="shared" ref="M7:M63" si="1">1-L7</f>
        <v>0</v>
      </c>
      <c r="N7" s="32">
        <v>1</v>
      </c>
      <c r="O7" s="37">
        <f t="shared" ref="O7:O63" si="2">1-N7</f>
        <v>0</v>
      </c>
      <c r="P7" s="14">
        <f t="shared" ref="P7:P23" si="3">J7*L7*K7*N7</f>
        <v>90</v>
      </c>
      <c r="Q7" s="14">
        <f t="shared" ref="Q7:Q32" si="4">J7*M7*K7*N7</f>
        <v>0</v>
      </c>
      <c r="R7" s="186">
        <f t="shared" ref="R7:R63" si="5">SUM(P7,Q7)</f>
        <v>90</v>
      </c>
      <c r="S7" s="11">
        <f t="shared" ref="S7:S63" si="6">J7*K7</f>
        <v>90</v>
      </c>
      <c r="T7" s="11" t="str">
        <f t="shared" ref="T7:T63" si="7">IF(L7&gt;50%,"Implementation","Planning")</f>
        <v>Implementation</v>
      </c>
      <c r="U7" s="11"/>
      <c r="V7" s="141" t="s">
        <v>234</v>
      </c>
    </row>
    <row r="8" spans="2:24" s="7" customFormat="1" ht="27" customHeight="1" thickTop="1" thickBot="1" x14ac:dyDescent="0.3">
      <c r="B8" s="210"/>
      <c r="C8" s="89" t="s">
        <v>37</v>
      </c>
      <c r="D8" s="72" t="s">
        <v>38</v>
      </c>
      <c r="E8" s="73" t="s">
        <v>39</v>
      </c>
      <c r="F8" s="18" t="s">
        <v>35</v>
      </c>
      <c r="G8" s="180">
        <v>26</v>
      </c>
      <c r="H8" s="180">
        <v>26</v>
      </c>
      <c r="I8" s="180">
        <v>376</v>
      </c>
      <c r="J8" s="52">
        <f t="shared" si="0"/>
        <v>428</v>
      </c>
      <c r="K8" s="6">
        <v>1</v>
      </c>
      <c r="L8" s="32">
        <v>0.95</v>
      </c>
      <c r="M8" s="32">
        <f t="shared" ref="M8" si="8">1-L8</f>
        <v>5.0000000000000044E-2</v>
      </c>
      <c r="N8" s="32">
        <v>1</v>
      </c>
      <c r="O8" s="37">
        <f t="shared" ref="O8" si="9">1-N8</f>
        <v>0</v>
      </c>
      <c r="P8" s="14">
        <f t="shared" ref="P8" si="10">J8*L8*K8*N8</f>
        <v>406.59999999999997</v>
      </c>
      <c r="Q8" s="14">
        <f t="shared" ref="Q8" si="11">J8*M8*K8*N8</f>
        <v>21.40000000000002</v>
      </c>
      <c r="R8" s="186">
        <f t="shared" si="5"/>
        <v>428</v>
      </c>
      <c r="S8" s="11">
        <f t="shared" si="6"/>
        <v>428</v>
      </c>
      <c r="T8" s="11" t="str">
        <f t="shared" si="7"/>
        <v>Implementation</v>
      </c>
      <c r="U8" s="11" t="s">
        <v>168</v>
      </c>
      <c r="V8" s="142" t="s">
        <v>166</v>
      </c>
    </row>
    <row r="9" spans="2:24" s="7" customFormat="1" ht="27" customHeight="1" thickTop="1" thickBot="1" x14ac:dyDescent="0.3">
      <c r="B9" s="211"/>
      <c r="C9" s="89" t="s">
        <v>40</v>
      </c>
      <c r="D9" s="43" t="s">
        <v>41</v>
      </c>
      <c r="E9" s="44" t="s">
        <v>42</v>
      </c>
      <c r="F9" s="178">
        <f>1126.11838751851-F7</f>
        <v>1036.11838751851</v>
      </c>
      <c r="G9" s="18" t="s">
        <v>35</v>
      </c>
      <c r="H9" s="18" t="s">
        <v>35</v>
      </c>
      <c r="I9" s="18" t="s">
        <v>35</v>
      </c>
      <c r="J9" s="52">
        <f t="shared" si="0"/>
        <v>1036.11838751851</v>
      </c>
      <c r="K9" s="6">
        <v>1</v>
      </c>
      <c r="L9" s="32">
        <v>1</v>
      </c>
      <c r="M9" s="32">
        <f t="shared" si="1"/>
        <v>0</v>
      </c>
      <c r="N9" s="32">
        <v>1</v>
      </c>
      <c r="O9" s="37">
        <f t="shared" si="2"/>
        <v>0</v>
      </c>
      <c r="P9" s="14">
        <f t="shared" si="3"/>
        <v>1036.11838751851</v>
      </c>
      <c r="Q9" s="14">
        <f t="shared" si="4"/>
        <v>0</v>
      </c>
      <c r="R9" s="186">
        <f t="shared" si="5"/>
        <v>1036.11838751851</v>
      </c>
      <c r="S9" s="11">
        <f t="shared" si="6"/>
        <v>1036.11838751851</v>
      </c>
      <c r="T9" s="11" t="str">
        <f t="shared" si="7"/>
        <v>Implementation</v>
      </c>
      <c r="U9" s="11"/>
      <c r="V9" s="141" t="s">
        <v>43</v>
      </c>
    </row>
    <row r="10" spans="2:24" s="2" customFormat="1" ht="27" customHeight="1" thickTop="1" thickBot="1" x14ac:dyDescent="0.3">
      <c r="B10" s="197" t="s">
        <v>44</v>
      </c>
      <c r="C10" s="205" t="s">
        <v>45</v>
      </c>
      <c r="D10" s="27" t="s">
        <v>46</v>
      </c>
      <c r="E10" s="27" t="s">
        <v>46</v>
      </c>
      <c r="F10" s="178">
        <v>196</v>
      </c>
      <c r="G10" s="18" t="s">
        <v>35</v>
      </c>
      <c r="H10" s="18" t="s">
        <v>35</v>
      </c>
      <c r="I10" s="18" t="s">
        <v>35</v>
      </c>
      <c r="J10" s="52">
        <f t="shared" si="0"/>
        <v>196</v>
      </c>
      <c r="K10" s="6">
        <v>0.193</v>
      </c>
      <c r="L10" s="32">
        <v>1</v>
      </c>
      <c r="M10" s="32">
        <f t="shared" si="1"/>
        <v>0</v>
      </c>
      <c r="N10" s="32">
        <v>1</v>
      </c>
      <c r="O10" s="37">
        <f t="shared" si="2"/>
        <v>0</v>
      </c>
      <c r="P10" s="14">
        <f t="shared" si="3"/>
        <v>37.828000000000003</v>
      </c>
      <c r="Q10" s="14">
        <f t="shared" si="4"/>
        <v>0</v>
      </c>
      <c r="R10" s="186">
        <f t="shared" si="5"/>
        <v>37.828000000000003</v>
      </c>
      <c r="S10" s="11">
        <f t="shared" si="6"/>
        <v>37.828000000000003</v>
      </c>
      <c r="T10" s="11" t="str">
        <f t="shared" si="7"/>
        <v>Implementation</v>
      </c>
      <c r="U10" s="11"/>
      <c r="V10" s="149" t="s">
        <v>160</v>
      </c>
      <c r="W10" s="2" t="s">
        <v>246</v>
      </c>
    </row>
    <row r="11" spans="2:24" s="2" customFormat="1" ht="27" customHeight="1" thickTop="1" thickBot="1" x14ac:dyDescent="0.3">
      <c r="B11" s="198"/>
      <c r="C11" s="207"/>
      <c r="D11" s="28" t="s">
        <v>47</v>
      </c>
      <c r="E11" s="28" t="s">
        <v>47</v>
      </c>
      <c r="F11" s="178">
        <v>41</v>
      </c>
      <c r="G11" s="18" t="s">
        <v>35</v>
      </c>
      <c r="H11" s="18" t="s">
        <v>35</v>
      </c>
      <c r="I11" s="18" t="s">
        <v>35</v>
      </c>
      <c r="J11" s="52">
        <f t="shared" si="0"/>
        <v>41</v>
      </c>
      <c r="K11" s="6">
        <v>0.193</v>
      </c>
      <c r="L11" s="32">
        <v>1</v>
      </c>
      <c r="M11" s="32">
        <f t="shared" si="1"/>
        <v>0</v>
      </c>
      <c r="N11" s="32">
        <v>1</v>
      </c>
      <c r="O11" s="37">
        <f t="shared" si="2"/>
        <v>0</v>
      </c>
      <c r="P11" s="14">
        <f t="shared" si="3"/>
        <v>7.9130000000000003</v>
      </c>
      <c r="Q11" s="14">
        <f t="shared" si="4"/>
        <v>0</v>
      </c>
      <c r="R11" s="186">
        <f t="shared" si="5"/>
        <v>7.9130000000000003</v>
      </c>
      <c r="S11" s="11">
        <f t="shared" si="6"/>
        <v>7.9130000000000003</v>
      </c>
      <c r="T11" s="11" t="str">
        <f t="shared" si="7"/>
        <v>Implementation</v>
      </c>
      <c r="U11" s="11"/>
      <c r="V11" s="149" t="s">
        <v>160</v>
      </c>
      <c r="W11" s="2" t="s">
        <v>247</v>
      </c>
    </row>
    <row r="12" spans="2:24" s="2" customFormat="1" ht="27" customHeight="1" thickTop="1" thickBot="1" x14ac:dyDescent="0.3">
      <c r="B12" s="198"/>
      <c r="C12" s="207"/>
      <c r="D12" s="28" t="s">
        <v>48</v>
      </c>
      <c r="E12" s="28" t="s">
        <v>48</v>
      </c>
      <c r="F12" s="178">
        <v>172</v>
      </c>
      <c r="G12" s="18" t="s">
        <v>35</v>
      </c>
      <c r="H12" s="18" t="s">
        <v>35</v>
      </c>
      <c r="I12" s="18" t="s">
        <v>35</v>
      </c>
      <c r="J12" s="52">
        <f t="shared" si="0"/>
        <v>172</v>
      </c>
      <c r="K12" s="6">
        <v>0.193</v>
      </c>
      <c r="L12" s="32">
        <v>1</v>
      </c>
      <c r="M12" s="32">
        <f t="shared" si="1"/>
        <v>0</v>
      </c>
      <c r="N12" s="32">
        <v>1</v>
      </c>
      <c r="O12" s="37">
        <f t="shared" si="2"/>
        <v>0</v>
      </c>
      <c r="P12" s="14">
        <f t="shared" si="3"/>
        <v>33.195999999999998</v>
      </c>
      <c r="Q12" s="14">
        <f t="shared" si="4"/>
        <v>0</v>
      </c>
      <c r="R12" s="186">
        <f t="shared" si="5"/>
        <v>33.195999999999998</v>
      </c>
      <c r="S12" s="11">
        <f t="shared" si="6"/>
        <v>33.195999999999998</v>
      </c>
      <c r="T12" s="11" t="str">
        <f t="shared" si="7"/>
        <v>Implementation</v>
      </c>
      <c r="U12" s="11"/>
      <c r="V12" s="142" t="s">
        <v>249</v>
      </c>
      <c r="W12" s="2" t="s">
        <v>248</v>
      </c>
    </row>
    <row r="13" spans="2:24" s="2" customFormat="1" ht="27" customHeight="1" thickTop="1" thickBot="1" x14ac:dyDescent="0.3">
      <c r="B13" s="198"/>
      <c r="C13" s="206"/>
      <c r="D13" s="31" t="s">
        <v>49</v>
      </c>
      <c r="E13" s="31" t="s">
        <v>49</v>
      </c>
      <c r="F13" s="178">
        <v>61</v>
      </c>
      <c r="G13" s="18" t="s">
        <v>35</v>
      </c>
      <c r="H13" s="18" t="s">
        <v>35</v>
      </c>
      <c r="I13" s="18" t="s">
        <v>35</v>
      </c>
      <c r="J13" s="52">
        <f t="shared" si="0"/>
        <v>61</v>
      </c>
      <c r="K13" s="74">
        <v>0.193</v>
      </c>
      <c r="L13" s="32">
        <v>1</v>
      </c>
      <c r="M13" s="32">
        <f t="shared" si="1"/>
        <v>0</v>
      </c>
      <c r="N13" s="32">
        <v>1</v>
      </c>
      <c r="O13" s="37">
        <f t="shared" si="2"/>
        <v>0</v>
      </c>
      <c r="P13" s="14">
        <f t="shared" si="3"/>
        <v>11.773</v>
      </c>
      <c r="Q13" s="14">
        <f t="shared" si="4"/>
        <v>0</v>
      </c>
      <c r="R13" s="186">
        <f t="shared" si="5"/>
        <v>11.773</v>
      </c>
      <c r="S13" s="11">
        <f t="shared" si="6"/>
        <v>11.773</v>
      </c>
      <c r="T13" s="11" t="str">
        <f t="shared" si="7"/>
        <v>Implementation</v>
      </c>
      <c r="U13" s="11"/>
      <c r="V13" s="4" t="s">
        <v>161</v>
      </c>
      <c r="W13" s="2" t="s">
        <v>250</v>
      </c>
    </row>
    <row r="14" spans="2:24" s="2" customFormat="1" ht="27" customHeight="1" thickTop="1" thickBot="1" x14ac:dyDescent="0.3">
      <c r="B14" s="198"/>
      <c r="C14" s="205" t="s">
        <v>50</v>
      </c>
      <c r="D14" s="28" t="s">
        <v>51</v>
      </c>
      <c r="E14" s="28" t="s">
        <v>46</v>
      </c>
      <c r="F14" s="178">
        <v>12</v>
      </c>
      <c r="G14" s="18" t="s">
        <v>35</v>
      </c>
      <c r="H14" s="18" t="s">
        <v>35</v>
      </c>
      <c r="I14" s="18" t="s">
        <v>35</v>
      </c>
      <c r="J14" s="52">
        <f t="shared" si="0"/>
        <v>12</v>
      </c>
      <c r="K14" s="74">
        <v>0.19</v>
      </c>
      <c r="L14" s="32">
        <v>1</v>
      </c>
      <c r="M14" s="32">
        <f t="shared" si="1"/>
        <v>0</v>
      </c>
      <c r="N14" s="32">
        <v>1</v>
      </c>
      <c r="O14" s="37">
        <f t="shared" si="2"/>
        <v>0</v>
      </c>
      <c r="P14" s="14">
        <f t="shared" si="3"/>
        <v>2.2800000000000002</v>
      </c>
      <c r="Q14" s="14">
        <f t="shared" si="4"/>
        <v>0</v>
      </c>
      <c r="R14" s="186">
        <f t="shared" si="5"/>
        <v>2.2800000000000002</v>
      </c>
      <c r="S14" s="11">
        <f t="shared" si="6"/>
        <v>2.2800000000000002</v>
      </c>
      <c r="T14" s="11" t="str">
        <f t="shared" si="7"/>
        <v>Implementation</v>
      </c>
      <c r="U14" s="11" t="s">
        <v>169</v>
      </c>
      <c r="V14" s="4" t="s">
        <v>162</v>
      </c>
    </row>
    <row r="15" spans="2:24" s="2" customFormat="1" ht="27" customHeight="1" thickTop="1" thickBot="1" x14ac:dyDescent="0.3">
      <c r="B15" s="198"/>
      <c r="C15" s="207"/>
      <c r="D15" s="28" t="s">
        <v>52</v>
      </c>
      <c r="E15" s="28" t="s">
        <v>46</v>
      </c>
      <c r="F15" s="178">
        <v>35</v>
      </c>
      <c r="G15" s="18" t="s">
        <v>35</v>
      </c>
      <c r="H15" s="18" t="s">
        <v>35</v>
      </c>
      <c r="I15" s="18" t="s">
        <v>35</v>
      </c>
      <c r="J15" s="52">
        <f t="shared" si="0"/>
        <v>35</v>
      </c>
      <c r="K15" s="151">
        <v>0.19</v>
      </c>
      <c r="L15" s="32">
        <v>1</v>
      </c>
      <c r="M15" s="32">
        <f t="shared" si="1"/>
        <v>0</v>
      </c>
      <c r="N15" s="32">
        <v>1</v>
      </c>
      <c r="O15" s="37">
        <f t="shared" si="2"/>
        <v>0</v>
      </c>
      <c r="P15" s="14">
        <f t="shared" si="3"/>
        <v>6.65</v>
      </c>
      <c r="Q15" s="14">
        <f t="shared" si="4"/>
        <v>0</v>
      </c>
      <c r="R15" s="186">
        <f t="shared" si="5"/>
        <v>6.65</v>
      </c>
      <c r="S15" s="11">
        <f t="shared" si="6"/>
        <v>6.65</v>
      </c>
      <c r="T15" s="11" t="str">
        <f>IF(L15&gt;50%,"Implementation","Planning")</f>
        <v>Implementation</v>
      </c>
      <c r="U15" s="11" t="s">
        <v>169</v>
      </c>
      <c r="V15" s="146" t="s">
        <v>164</v>
      </c>
    </row>
    <row r="16" spans="2:24" s="2" customFormat="1" ht="27" customHeight="1" thickTop="1" thickBot="1" x14ac:dyDescent="0.3">
      <c r="B16" s="198"/>
      <c r="C16" s="206"/>
      <c r="D16" s="30" t="s">
        <v>53</v>
      </c>
      <c r="E16" s="30" t="s">
        <v>260</v>
      </c>
      <c r="F16" s="178">
        <v>29</v>
      </c>
      <c r="G16" s="18" t="s">
        <v>35</v>
      </c>
      <c r="H16" s="18" t="s">
        <v>35</v>
      </c>
      <c r="I16" s="18" t="s">
        <v>35</v>
      </c>
      <c r="J16" s="52">
        <f t="shared" si="0"/>
        <v>29</v>
      </c>
      <c r="K16" s="74">
        <v>1</v>
      </c>
      <c r="L16" s="32">
        <v>1</v>
      </c>
      <c r="M16" s="32">
        <f t="shared" si="1"/>
        <v>0</v>
      </c>
      <c r="N16" s="32">
        <v>1</v>
      </c>
      <c r="O16" s="37">
        <f t="shared" si="2"/>
        <v>0</v>
      </c>
      <c r="P16" s="14">
        <f t="shared" si="3"/>
        <v>29</v>
      </c>
      <c r="Q16" s="14">
        <f t="shared" si="4"/>
        <v>0</v>
      </c>
      <c r="R16" s="186">
        <f t="shared" si="5"/>
        <v>29</v>
      </c>
      <c r="S16" s="11">
        <f t="shared" si="6"/>
        <v>29</v>
      </c>
      <c r="T16" s="11" t="str">
        <f t="shared" si="7"/>
        <v>Implementation</v>
      </c>
      <c r="U16" s="11" t="s">
        <v>170</v>
      </c>
      <c r="V16" s="4" t="s">
        <v>163</v>
      </c>
    </row>
    <row r="17" spans="2:23" s="2" customFormat="1" ht="27" customHeight="1" thickTop="1" thickBot="1" x14ac:dyDescent="0.25">
      <c r="B17" s="198"/>
      <c r="C17" s="205" t="s">
        <v>54</v>
      </c>
      <c r="D17" s="86" t="s">
        <v>55</v>
      </c>
      <c r="E17" s="86" t="s">
        <v>56</v>
      </c>
      <c r="F17" s="18" t="s">
        <v>35</v>
      </c>
      <c r="G17" s="177">
        <v>7</v>
      </c>
      <c r="H17" s="177">
        <v>7</v>
      </c>
      <c r="I17" s="180">
        <f>7*26</f>
        <v>182</v>
      </c>
      <c r="J17" s="52">
        <f t="shared" si="0"/>
        <v>196</v>
      </c>
      <c r="K17" s="74">
        <v>0.19</v>
      </c>
      <c r="L17" s="32">
        <v>0.75</v>
      </c>
      <c r="M17" s="32">
        <f t="shared" si="1"/>
        <v>0.25</v>
      </c>
      <c r="N17" s="32">
        <v>0.1</v>
      </c>
      <c r="O17" s="37">
        <f t="shared" si="2"/>
        <v>0.9</v>
      </c>
      <c r="P17" s="14">
        <f t="shared" si="3"/>
        <v>2.7930000000000001</v>
      </c>
      <c r="Q17" s="14">
        <f t="shared" si="4"/>
        <v>0.93100000000000005</v>
      </c>
      <c r="R17" s="186">
        <f t="shared" si="5"/>
        <v>3.7240000000000002</v>
      </c>
      <c r="S17" s="11">
        <f t="shared" si="6"/>
        <v>37.24</v>
      </c>
      <c r="T17" s="11" t="str">
        <f t="shared" si="7"/>
        <v>Implementation</v>
      </c>
      <c r="U17" s="11" t="s">
        <v>171</v>
      </c>
      <c r="V17" s="141"/>
    </row>
    <row r="18" spans="2:23" s="2" customFormat="1" ht="27" customHeight="1" thickTop="1" thickBot="1" x14ac:dyDescent="0.3">
      <c r="B18" s="198"/>
      <c r="C18" s="206"/>
      <c r="D18" s="30" t="s">
        <v>57</v>
      </c>
      <c r="E18" s="148" t="s">
        <v>58</v>
      </c>
      <c r="F18" s="18" t="s">
        <v>35</v>
      </c>
      <c r="G18" s="177">
        <v>51</v>
      </c>
      <c r="H18" s="177">
        <v>52</v>
      </c>
      <c r="I18" s="180">
        <v>2189</v>
      </c>
      <c r="J18" s="52">
        <f t="shared" si="0"/>
        <v>2292</v>
      </c>
      <c r="K18" s="74">
        <v>0.19</v>
      </c>
      <c r="L18" s="32">
        <v>0.98</v>
      </c>
      <c r="M18" s="32">
        <f t="shared" si="1"/>
        <v>2.0000000000000018E-2</v>
      </c>
      <c r="N18" s="32">
        <v>0.05</v>
      </c>
      <c r="O18" s="37">
        <f t="shared" si="2"/>
        <v>0.95</v>
      </c>
      <c r="P18" s="14">
        <f t="shared" si="3"/>
        <v>21.338520000000003</v>
      </c>
      <c r="Q18" s="14">
        <f t="shared" si="4"/>
        <v>0.43548000000000037</v>
      </c>
      <c r="R18" s="186">
        <f t="shared" si="5"/>
        <v>21.774000000000004</v>
      </c>
      <c r="S18" s="11">
        <f t="shared" si="6"/>
        <v>435.48</v>
      </c>
      <c r="T18" s="11" t="str">
        <f t="shared" si="7"/>
        <v>Implementation</v>
      </c>
      <c r="U18" s="11"/>
      <c r="V18" s="142" t="s">
        <v>240</v>
      </c>
      <c r="W18" s="2" t="s">
        <v>165</v>
      </c>
    </row>
    <row r="19" spans="2:23" s="2" customFormat="1" ht="27" customHeight="1" thickTop="1" thickBot="1" x14ac:dyDescent="0.25">
      <c r="B19" s="198"/>
      <c r="C19" s="200" t="s">
        <v>59</v>
      </c>
      <c r="D19" s="45" t="s">
        <v>62</v>
      </c>
      <c r="E19" s="45" t="s">
        <v>60</v>
      </c>
      <c r="F19" s="178">
        <v>25</v>
      </c>
      <c r="G19" s="178">
        <v>100</v>
      </c>
      <c r="H19" s="18" t="s">
        <v>35</v>
      </c>
      <c r="I19" s="18" t="s">
        <v>35</v>
      </c>
      <c r="J19" s="52">
        <f t="shared" si="0"/>
        <v>125</v>
      </c>
      <c r="K19" s="74">
        <v>0.193</v>
      </c>
      <c r="L19" s="32">
        <v>0.33</v>
      </c>
      <c r="M19" s="32">
        <f>1-L19</f>
        <v>0.66999999999999993</v>
      </c>
      <c r="N19" s="32">
        <v>0.33</v>
      </c>
      <c r="O19" s="37">
        <f t="shared" si="2"/>
        <v>0.66999999999999993</v>
      </c>
      <c r="P19" s="14">
        <f t="shared" si="3"/>
        <v>2.6272125000000002</v>
      </c>
      <c r="Q19" s="14">
        <f t="shared" si="4"/>
        <v>5.3340374999999991</v>
      </c>
      <c r="R19" s="186">
        <f t="shared" si="5"/>
        <v>7.9612499999999997</v>
      </c>
      <c r="S19" s="11">
        <f t="shared" si="6"/>
        <v>24.125</v>
      </c>
      <c r="T19" s="11" t="str">
        <f t="shared" si="7"/>
        <v>Planning</v>
      </c>
      <c r="U19" s="11" t="s">
        <v>172</v>
      </c>
      <c r="V19" s="141" t="s">
        <v>61</v>
      </c>
      <c r="W19" s="2" t="s">
        <v>220</v>
      </c>
    </row>
    <row r="20" spans="2:23" s="2" customFormat="1" ht="27" customHeight="1" thickTop="1" thickBot="1" x14ac:dyDescent="0.25">
      <c r="B20" s="198"/>
      <c r="C20" s="203"/>
      <c r="D20" s="46" t="s">
        <v>62</v>
      </c>
      <c r="E20" s="46" t="s">
        <v>63</v>
      </c>
      <c r="F20" s="179">
        <v>10</v>
      </c>
      <c r="G20" s="179">
        <v>10</v>
      </c>
      <c r="H20" s="179">
        <v>5</v>
      </c>
      <c r="I20" s="18" t="s">
        <v>35</v>
      </c>
      <c r="J20" s="52">
        <f t="shared" si="0"/>
        <v>25</v>
      </c>
      <c r="K20" s="13">
        <v>0.193</v>
      </c>
      <c r="L20" s="174">
        <v>0</v>
      </c>
      <c r="M20" s="32">
        <f t="shared" si="1"/>
        <v>1</v>
      </c>
      <c r="N20" s="174">
        <v>0.33</v>
      </c>
      <c r="O20" s="37">
        <f t="shared" si="2"/>
        <v>0.66999999999999993</v>
      </c>
      <c r="P20" s="14">
        <f t="shared" si="3"/>
        <v>0</v>
      </c>
      <c r="Q20" s="14">
        <f t="shared" si="4"/>
        <v>1.5922500000000002</v>
      </c>
      <c r="R20" s="186">
        <f t="shared" si="5"/>
        <v>1.5922500000000002</v>
      </c>
      <c r="S20" s="11">
        <f t="shared" si="6"/>
        <v>4.8250000000000002</v>
      </c>
      <c r="T20" s="11" t="str">
        <f t="shared" si="7"/>
        <v>Planning</v>
      </c>
      <c r="U20" s="11" t="s">
        <v>173</v>
      </c>
      <c r="V20" s="5" t="s">
        <v>64</v>
      </c>
    </row>
    <row r="21" spans="2:23" s="2" customFormat="1" ht="27" customHeight="1" thickTop="1" thickBot="1" x14ac:dyDescent="0.25">
      <c r="B21" s="198"/>
      <c r="C21" s="203"/>
      <c r="D21" s="46" t="s">
        <v>51</v>
      </c>
      <c r="E21" s="46" t="s">
        <v>65</v>
      </c>
      <c r="F21" s="18" t="s">
        <v>35</v>
      </c>
      <c r="G21" s="179">
        <v>120</v>
      </c>
      <c r="H21" s="179">
        <v>130</v>
      </c>
      <c r="I21" s="18" t="s">
        <v>35</v>
      </c>
      <c r="J21" s="52">
        <f t="shared" si="0"/>
        <v>250</v>
      </c>
      <c r="K21" s="13">
        <f>185.97/420</f>
        <v>0.44278571428571428</v>
      </c>
      <c r="L21" s="174">
        <v>0.9</v>
      </c>
      <c r="M21" s="32">
        <f t="shared" si="1"/>
        <v>9.9999999999999978E-2</v>
      </c>
      <c r="N21" s="174">
        <v>1</v>
      </c>
      <c r="O21" s="37">
        <f t="shared" si="2"/>
        <v>0</v>
      </c>
      <c r="P21" s="14">
        <f t="shared" si="3"/>
        <v>99.626785714285717</v>
      </c>
      <c r="Q21" s="14">
        <f t="shared" si="4"/>
        <v>11.069642857142854</v>
      </c>
      <c r="R21" s="186">
        <f t="shared" si="5"/>
        <v>110.69642857142857</v>
      </c>
      <c r="S21" s="11">
        <f t="shared" si="6"/>
        <v>110.69642857142857</v>
      </c>
      <c r="T21" s="11" t="str">
        <f t="shared" si="7"/>
        <v>Implementation</v>
      </c>
      <c r="U21" s="11" t="s">
        <v>174</v>
      </c>
      <c r="V21" s="141" t="s">
        <v>227</v>
      </c>
      <c r="W21" s="2" t="s">
        <v>226</v>
      </c>
    </row>
    <row r="22" spans="2:23" s="2" customFormat="1" ht="27" customHeight="1" thickTop="1" thickBot="1" x14ac:dyDescent="0.25">
      <c r="B22" s="198"/>
      <c r="C22" s="203"/>
      <c r="D22" s="46" t="s">
        <v>51</v>
      </c>
      <c r="E22" s="46" t="s">
        <v>66</v>
      </c>
      <c r="F22" s="82" t="s">
        <v>35</v>
      </c>
      <c r="G22" s="179">
        <v>37.5</v>
      </c>
      <c r="H22" s="179">
        <v>20</v>
      </c>
      <c r="I22" s="180">
        <v>1</v>
      </c>
      <c r="J22" s="52">
        <f t="shared" si="0"/>
        <v>58.5</v>
      </c>
      <c r="K22" s="13">
        <v>0.29099999999999998</v>
      </c>
      <c r="L22" s="174">
        <v>0.9</v>
      </c>
      <c r="M22" s="32">
        <f t="shared" si="1"/>
        <v>9.9999999999999978E-2</v>
      </c>
      <c r="N22" s="174">
        <v>1</v>
      </c>
      <c r="O22" s="37">
        <f t="shared" si="2"/>
        <v>0</v>
      </c>
      <c r="P22" s="14">
        <f t="shared" si="3"/>
        <v>15.321149999999999</v>
      </c>
      <c r="Q22" s="14">
        <f t="shared" si="4"/>
        <v>1.7023499999999996</v>
      </c>
      <c r="R22" s="186">
        <f t="shared" si="5"/>
        <v>17.023499999999999</v>
      </c>
      <c r="S22" s="11">
        <f t="shared" si="6"/>
        <v>17.023499999999999</v>
      </c>
      <c r="T22" s="11" t="str">
        <f t="shared" si="7"/>
        <v>Implementation</v>
      </c>
      <c r="U22" s="11" t="s">
        <v>175</v>
      </c>
      <c r="V22" s="141" t="s">
        <v>241</v>
      </c>
      <c r="W22" s="90" t="s">
        <v>220</v>
      </c>
    </row>
    <row r="23" spans="2:23" s="2" customFormat="1" ht="27" customHeight="1" thickTop="1" thickBot="1" x14ac:dyDescent="0.25">
      <c r="B23" s="198"/>
      <c r="C23" s="203"/>
      <c r="D23" s="46" t="s">
        <v>51</v>
      </c>
      <c r="E23" s="46" t="s">
        <v>67</v>
      </c>
      <c r="F23" s="179">
        <v>0</v>
      </c>
      <c r="G23" s="179">
        <v>125</v>
      </c>
      <c r="H23" s="82" t="s">
        <v>35</v>
      </c>
      <c r="I23" s="18" t="s">
        <v>35</v>
      </c>
      <c r="J23" s="52">
        <f t="shared" si="0"/>
        <v>125</v>
      </c>
      <c r="K23" s="13">
        <v>0.193</v>
      </c>
      <c r="L23" s="174">
        <v>0.9</v>
      </c>
      <c r="M23" s="32">
        <f t="shared" si="1"/>
        <v>9.9999999999999978E-2</v>
      </c>
      <c r="N23" s="174">
        <v>0.75</v>
      </c>
      <c r="O23" s="37">
        <f t="shared" si="2"/>
        <v>0.25</v>
      </c>
      <c r="P23" s="14">
        <f t="shared" si="3"/>
        <v>16.284375000000001</v>
      </c>
      <c r="Q23" s="14">
        <f t="shared" si="4"/>
        <v>1.8093749999999993</v>
      </c>
      <c r="R23" s="186">
        <f t="shared" si="5"/>
        <v>18.09375</v>
      </c>
      <c r="S23" s="11">
        <f t="shared" si="6"/>
        <v>24.125</v>
      </c>
      <c r="T23" s="11" t="str">
        <f t="shared" si="7"/>
        <v>Implementation</v>
      </c>
      <c r="U23" s="11" t="s">
        <v>176</v>
      </c>
      <c r="V23" s="141" t="s">
        <v>225</v>
      </c>
      <c r="W23" s="90" t="s">
        <v>220</v>
      </c>
    </row>
    <row r="24" spans="2:23" s="2" customFormat="1" ht="27" customHeight="1" thickTop="1" thickBot="1" x14ac:dyDescent="0.25">
      <c r="B24" s="198"/>
      <c r="C24" s="203"/>
      <c r="D24" s="81" t="s">
        <v>51</v>
      </c>
      <c r="E24" s="81" t="s">
        <v>69</v>
      </c>
      <c r="F24" s="82" t="s">
        <v>35</v>
      </c>
      <c r="G24" s="179">
        <v>50</v>
      </c>
      <c r="H24" s="82" t="s">
        <v>35</v>
      </c>
      <c r="I24" s="18" t="s">
        <v>35</v>
      </c>
      <c r="J24" s="52">
        <f>SUM(F24:I24)</f>
        <v>50</v>
      </c>
      <c r="K24" s="13">
        <v>0.29099999999999998</v>
      </c>
      <c r="L24" s="174">
        <v>0.9</v>
      </c>
      <c r="M24" s="32">
        <f>1-L24</f>
        <v>9.9999999999999978E-2</v>
      </c>
      <c r="N24" s="174">
        <v>0.5</v>
      </c>
      <c r="O24" s="37">
        <f>1-N24</f>
        <v>0.5</v>
      </c>
      <c r="P24" s="14">
        <f>J24*L24*K24*N24</f>
        <v>6.5474999999999994</v>
      </c>
      <c r="Q24" s="14">
        <f t="shared" si="4"/>
        <v>0.72749999999999981</v>
      </c>
      <c r="R24" s="186">
        <f t="shared" si="5"/>
        <v>7.2749999999999995</v>
      </c>
      <c r="S24" s="14">
        <f t="shared" si="6"/>
        <v>14.549999999999999</v>
      </c>
      <c r="T24" s="11" t="str">
        <f t="shared" si="7"/>
        <v>Implementation</v>
      </c>
      <c r="U24" s="11"/>
      <c r="V24" s="141" t="s">
        <v>68</v>
      </c>
    </row>
    <row r="25" spans="2:23" s="2" customFormat="1" ht="27" customHeight="1" thickTop="1" thickBot="1" x14ac:dyDescent="0.25">
      <c r="B25" s="198"/>
      <c r="C25" s="203"/>
      <c r="D25" s="83" t="s">
        <v>51</v>
      </c>
      <c r="E25" s="83" t="s">
        <v>202</v>
      </c>
      <c r="F25" s="179">
        <v>8</v>
      </c>
      <c r="G25" s="179">
        <v>51</v>
      </c>
      <c r="H25" s="82" t="s">
        <v>35</v>
      </c>
      <c r="I25" s="82" t="s">
        <v>35</v>
      </c>
      <c r="J25" s="52">
        <v>51</v>
      </c>
      <c r="K25" s="152">
        <v>1</v>
      </c>
      <c r="L25" s="174">
        <v>1</v>
      </c>
      <c r="M25" s="32">
        <f t="shared" ref="M25:M31" si="12">1-L25</f>
        <v>0</v>
      </c>
      <c r="N25" s="174">
        <v>0.75</v>
      </c>
      <c r="O25" s="37">
        <f>1-N25</f>
        <v>0.25</v>
      </c>
      <c r="P25" s="14">
        <f t="shared" ref="P25:P26" si="13">J25*L25*K25*N25</f>
        <v>38.25</v>
      </c>
      <c r="Q25" s="14">
        <f t="shared" si="4"/>
        <v>0</v>
      </c>
      <c r="R25" s="186">
        <f t="shared" si="5"/>
        <v>38.25</v>
      </c>
      <c r="S25" s="14">
        <f t="shared" si="6"/>
        <v>51</v>
      </c>
      <c r="T25" s="11" t="str">
        <f t="shared" si="7"/>
        <v>Implementation</v>
      </c>
      <c r="U25" s="11"/>
      <c r="V25" s="141" t="s">
        <v>51</v>
      </c>
    </row>
    <row r="26" spans="2:23" s="2" customFormat="1" ht="27" customHeight="1" thickTop="1" thickBot="1" x14ac:dyDescent="0.3">
      <c r="B26" s="198"/>
      <c r="C26" s="203"/>
      <c r="D26" s="2" t="s">
        <v>70</v>
      </c>
      <c r="E26" s="2" t="s">
        <v>71</v>
      </c>
      <c r="F26" s="82" t="s">
        <v>35</v>
      </c>
      <c r="G26" s="179">
        <v>37.5</v>
      </c>
      <c r="H26" s="179">
        <v>55</v>
      </c>
      <c r="I26" s="180">
        <v>10</v>
      </c>
      <c r="J26" s="52">
        <f t="shared" si="0"/>
        <v>102.5</v>
      </c>
      <c r="K26" s="13">
        <v>0.29099999999999998</v>
      </c>
      <c r="L26" s="174">
        <v>0.75</v>
      </c>
      <c r="M26" s="32">
        <f t="shared" si="12"/>
        <v>0.25</v>
      </c>
      <c r="N26" s="174">
        <v>0.9</v>
      </c>
      <c r="O26" s="84">
        <f>1-N26</f>
        <v>9.9999999999999978E-2</v>
      </c>
      <c r="P26" s="14">
        <f t="shared" si="13"/>
        <v>20.133562499999996</v>
      </c>
      <c r="Q26" s="14">
        <f t="shared" si="4"/>
        <v>6.7111874999999994</v>
      </c>
      <c r="R26" s="186">
        <f t="shared" si="5"/>
        <v>26.844749999999998</v>
      </c>
      <c r="S26" s="14">
        <f t="shared" si="6"/>
        <v>29.827499999999997</v>
      </c>
      <c r="T26" s="11" t="str">
        <f t="shared" si="7"/>
        <v>Implementation</v>
      </c>
      <c r="U26" s="11" t="s">
        <v>177</v>
      </c>
      <c r="V26"/>
    </row>
    <row r="27" spans="2:23" s="2" customFormat="1" ht="27" customHeight="1" thickTop="1" thickBot="1" x14ac:dyDescent="0.3">
      <c r="B27" s="198"/>
      <c r="C27" s="203"/>
      <c r="D27" s="2" t="s">
        <v>72</v>
      </c>
      <c r="E27" s="2" t="s">
        <v>73</v>
      </c>
      <c r="F27" s="82" t="s">
        <v>35</v>
      </c>
      <c r="G27" s="179">
        <v>36</v>
      </c>
      <c r="H27" s="82" t="s">
        <v>35</v>
      </c>
      <c r="I27" s="18" t="s">
        <v>35</v>
      </c>
      <c r="J27" s="52">
        <f t="shared" si="0"/>
        <v>36</v>
      </c>
      <c r="K27" s="13">
        <v>1</v>
      </c>
      <c r="L27" s="174">
        <v>0.75</v>
      </c>
      <c r="M27" s="32">
        <f t="shared" si="12"/>
        <v>0.25</v>
      </c>
      <c r="N27" s="174">
        <v>0.75</v>
      </c>
      <c r="O27" s="84">
        <f t="shared" ref="O27:O31" si="14">1-N27</f>
        <v>0.25</v>
      </c>
      <c r="P27" s="85">
        <f>J27*L27*K27*N27</f>
        <v>20.25</v>
      </c>
      <c r="Q27" s="85">
        <f t="shared" si="4"/>
        <v>6.75</v>
      </c>
      <c r="R27" s="186">
        <f t="shared" si="5"/>
        <v>27</v>
      </c>
      <c r="S27" s="85">
        <f t="shared" si="6"/>
        <v>36</v>
      </c>
      <c r="T27" s="11" t="str">
        <f t="shared" si="7"/>
        <v>Implementation</v>
      </c>
      <c r="U27" s="11" t="s">
        <v>178</v>
      </c>
      <c r="V27"/>
    </row>
    <row r="28" spans="2:23" s="2" customFormat="1" ht="27" customHeight="1" thickTop="1" thickBot="1" x14ac:dyDescent="0.25">
      <c r="B28" s="198"/>
      <c r="C28" s="203"/>
      <c r="D28" s="2" t="s">
        <v>72</v>
      </c>
      <c r="E28" s="2" t="s">
        <v>222</v>
      </c>
      <c r="F28" s="82" t="s">
        <v>35</v>
      </c>
      <c r="G28" s="82" t="s">
        <v>35</v>
      </c>
      <c r="H28" s="179">
        <v>40.6</v>
      </c>
      <c r="I28" s="18" t="s">
        <v>35</v>
      </c>
      <c r="J28" s="52">
        <f>H28</f>
        <v>40.6</v>
      </c>
      <c r="K28" s="13">
        <v>0.5</v>
      </c>
      <c r="L28" s="174">
        <v>1</v>
      </c>
      <c r="M28" s="32">
        <f t="shared" si="12"/>
        <v>0</v>
      </c>
      <c r="N28" s="174">
        <v>0.75</v>
      </c>
      <c r="O28" s="84">
        <f t="shared" si="14"/>
        <v>0.25</v>
      </c>
      <c r="P28" s="85">
        <f>J28*L28*K28*N28</f>
        <v>15.225000000000001</v>
      </c>
      <c r="Q28" s="85">
        <f t="shared" si="4"/>
        <v>0</v>
      </c>
      <c r="R28" s="186">
        <f t="shared" si="5"/>
        <v>15.225000000000001</v>
      </c>
      <c r="S28" s="85">
        <f t="shared" si="6"/>
        <v>20.3</v>
      </c>
      <c r="T28" s="11" t="str">
        <f t="shared" si="7"/>
        <v>Implementation</v>
      </c>
      <c r="U28" s="11"/>
      <c r="V28" s="5" t="s">
        <v>223</v>
      </c>
      <c r="W28" s="2" t="s">
        <v>224</v>
      </c>
    </row>
    <row r="29" spans="2:23" s="2" customFormat="1" ht="27" customHeight="1" thickTop="1" thickBot="1" x14ac:dyDescent="0.3">
      <c r="B29" s="198"/>
      <c r="C29" s="203"/>
      <c r="D29" s="2" t="s">
        <v>74</v>
      </c>
      <c r="E29" s="2" t="s">
        <v>75</v>
      </c>
      <c r="F29" s="82" t="s">
        <v>35</v>
      </c>
      <c r="G29" s="179">
        <v>54</v>
      </c>
      <c r="H29" s="82" t="s">
        <v>35</v>
      </c>
      <c r="I29" s="18" t="s">
        <v>35</v>
      </c>
      <c r="J29" s="52">
        <f t="shared" si="0"/>
        <v>54</v>
      </c>
      <c r="K29" s="13">
        <v>0.193</v>
      </c>
      <c r="L29" s="174">
        <v>0.75</v>
      </c>
      <c r="M29" s="32">
        <f t="shared" si="12"/>
        <v>0.25</v>
      </c>
      <c r="N29" s="174">
        <v>0.5</v>
      </c>
      <c r="O29" s="84">
        <f t="shared" si="14"/>
        <v>0.5</v>
      </c>
      <c r="P29" s="85">
        <f t="shared" ref="P29:P31" si="15">J29*L29*K29*N29</f>
        <v>3.9082500000000002</v>
      </c>
      <c r="Q29" s="85">
        <f t="shared" si="4"/>
        <v>1.3027500000000001</v>
      </c>
      <c r="R29" s="186">
        <f t="shared" si="5"/>
        <v>5.2110000000000003</v>
      </c>
      <c r="S29" s="85">
        <f t="shared" si="6"/>
        <v>10.422000000000001</v>
      </c>
      <c r="T29" s="11" t="str">
        <f t="shared" si="7"/>
        <v>Implementation</v>
      </c>
      <c r="U29" s="11"/>
      <c r="V29"/>
    </row>
    <row r="30" spans="2:23" s="2" customFormat="1" ht="27" customHeight="1" thickTop="1" thickBot="1" x14ac:dyDescent="0.25">
      <c r="B30" s="198"/>
      <c r="C30" s="203"/>
      <c r="D30" s="46" t="s">
        <v>74</v>
      </c>
      <c r="E30" s="46" t="s">
        <v>221</v>
      </c>
      <c r="F30" s="179">
        <v>15</v>
      </c>
      <c r="G30" s="179">
        <v>35</v>
      </c>
      <c r="H30" s="179">
        <v>0</v>
      </c>
      <c r="I30" s="18" t="s">
        <v>35</v>
      </c>
      <c r="J30" s="52">
        <f t="shared" si="0"/>
        <v>50</v>
      </c>
      <c r="K30" s="13">
        <v>0.193</v>
      </c>
      <c r="L30" s="174">
        <v>0.67</v>
      </c>
      <c r="M30" s="32">
        <f t="shared" si="12"/>
        <v>0.32999999999999996</v>
      </c>
      <c r="N30" s="174">
        <v>0.1</v>
      </c>
      <c r="O30" s="84">
        <f t="shared" si="14"/>
        <v>0.9</v>
      </c>
      <c r="P30" s="85">
        <f t="shared" si="15"/>
        <v>0.64655000000000007</v>
      </c>
      <c r="Q30" s="85">
        <f t="shared" si="4"/>
        <v>0.31844999999999996</v>
      </c>
      <c r="R30" s="186">
        <f t="shared" si="5"/>
        <v>0.96500000000000008</v>
      </c>
      <c r="S30" s="11">
        <f t="shared" si="6"/>
        <v>9.65</v>
      </c>
      <c r="T30" s="11" t="str">
        <f t="shared" si="7"/>
        <v>Implementation</v>
      </c>
      <c r="U30" s="11"/>
      <c r="V30" s="141" t="s">
        <v>76</v>
      </c>
    </row>
    <row r="31" spans="2:23" s="2" customFormat="1" ht="27" customHeight="1" thickTop="1" thickBot="1" x14ac:dyDescent="0.25">
      <c r="B31" s="198"/>
      <c r="C31" s="203"/>
      <c r="D31" s="83" t="s">
        <v>77</v>
      </c>
      <c r="E31" s="83" t="s">
        <v>78</v>
      </c>
      <c r="F31" s="179">
        <v>76</v>
      </c>
      <c r="G31" s="179">
        <v>225</v>
      </c>
      <c r="H31" s="179">
        <v>120</v>
      </c>
      <c r="I31" s="18" t="s">
        <v>35</v>
      </c>
      <c r="J31" s="52">
        <v>445</v>
      </c>
      <c r="K31" s="13">
        <v>0.193</v>
      </c>
      <c r="L31" s="174">
        <v>0.9</v>
      </c>
      <c r="M31" s="32">
        <f t="shared" si="12"/>
        <v>9.9999999999999978E-2</v>
      </c>
      <c r="N31" s="174">
        <v>0.33</v>
      </c>
      <c r="O31" s="84">
        <f t="shared" si="14"/>
        <v>0.66999999999999993</v>
      </c>
      <c r="P31" s="85">
        <f t="shared" si="15"/>
        <v>25.507845000000003</v>
      </c>
      <c r="Q31" s="85">
        <f t="shared" si="4"/>
        <v>2.8342049999999994</v>
      </c>
      <c r="R31" s="186">
        <f t="shared" si="5"/>
        <v>28.342050000000004</v>
      </c>
      <c r="S31" s="11">
        <f t="shared" si="6"/>
        <v>85.885000000000005</v>
      </c>
      <c r="T31" s="11" t="str">
        <f t="shared" si="7"/>
        <v>Implementation</v>
      </c>
      <c r="U31" s="11"/>
      <c r="V31" s="141"/>
      <c r="W31" s="2" t="s">
        <v>236</v>
      </c>
    </row>
    <row r="32" spans="2:23" s="2" customFormat="1" ht="27" customHeight="1" thickTop="1" thickBot="1" x14ac:dyDescent="0.25">
      <c r="B32" s="198"/>
      <c r="C32" s="203"/>
      <c r="D32" s="46" t="s">
        <v>53</v>
      </c>
      <c r="E32" s="46" t="s">
        <v>79</v>
      </c>
      <c r="F32" s="179">
        <v>0</v>
      </c>
      <c r="G32" s="179">
        <v>125</v>
      </c>
      <c r="H32" s="179">
        <v>75</v>
      </c>
      <c r="I32" s="18" t="s">
        <v>35</v>
      </c>
      <c r="J32" s="52">
        <f t="shared" si="0"/>
        <v>200</v>
      </c>
      <c r="K32" s="13">
        <v>0.193</v>
      </c>
      <c r="L32" s="174">
        <v>0.67</v>
      </c>
      <c r="M32" s="32">
        <f t="shared" si="1"/>
        <v>0.32999999999999996</v>
      </c>
      <c r="N32" s="174">
        <v>0.25</v>
      </c>
      <c r="O32" s="37">
        <f t="shared" si="2"/>
        <v>0.75</v>
      </c>
      <c r="P32" s="14">
        <f t="shared" ref="P32:P42" si="16">J32*L32*K32*N32</f>
        <v>6.4655000000000005</v>
      </c>
      <c r="Q32" s="85">
        <f t="shared" si="4"/>
        <v>3.1844999999999994</v>
      </c>
      <c r="R32" s="186">
        <f t="shared" si="5"/>
        <v>9.65</v>
      </c>
      <c r="S32" s="11">
        <f t="shared" si="6"/>
        <v>38.6</v>
      </c>
      <c r="T32" s="11" t="str">
        <f t="shared" si="7"/>
        <v>Implementation</v>
      </c>
      <c r="U32" s="11" t="s">
        <v>179</v>
      </c>
      <c r="V32" s="141" t="s">
        <v>76</v>
      </c>
    </row>
    <row r="33" spans="2:23" s="2" customFormat="1" ht="27" customHeight="1" thickTop="1" thickBot="1" x14ac:dyDescent="0.25">
      <c r="B33" s="198"/>
      <c r="C33" s="203"/>
      <c r="D33" s="46" t="s">
        <v>80</v>
      </c>
      <c r="E33" s="46" t="s">
        <v>81</v>
      </c>
      <c r="F33" s="179">
        <v>31</v>
      </c>
      <c r="G33" s="179">
        <v>22</v>
      </c>
      <c r="H33" s="179">
        <v>100</v>
      </c>
      <c r="I33" s="18" t="s">
        <v>35</v>
      </c>
      <c r="J33" s="52">
        <f t="shared" si="0"/>
        <v>153</v>
      </c>
      <c r="K33" s="13">
        <v>0.193</v>
      </c>
      <c r="L33" s="174">
        <v>0.67</v>
      </c>
      <c r="M33" s="32">
        <f t="shared" si="1"/>
        <v>0.32999999999999996</v>
      </c>
      <c r="N33" s="174">
        <v>0.05</v>
      </c>
      <c r="O33" s="37">
        <f t="shared" si="2"/>
        <v>0.95</v>
      </c>
      <c r="P33" s="14">
        <f t="shared" si="16"/>
        <v>0.98922150000000009</v>
      </c>
      <c r="Q33" s="14">
        <f t="shared" ref="Q33:Q42" si="17">J33*M33*K33*N33</f>
        <v>0.48722850000000001</v>
      </c>
      <c r="R33" s="186">
        <f t="shared" si="5"/>
        <v>1.47645</v>
      </c>
      <c r="S33" s="11">
        <f t="shared" si="6"/>
        <v>29.529</v>
      </c>
      <c r="T33" s="11" t="str">
        <f t="shared" si="7"/>
        <v>Implementation</v>
      </c>
      <c r="U33" s="11"/>
      <c r="V33" s="141" t="s">
        <v>76</v>
      </c>
    </row>
    <row r="34" spans="2:23" s="2" customFormat="1" ht="27" customHeight="1" thickTop="1" thickBot="1" x14ac:dyDescent="0.25">
      <c r="B34" s="198"/>
      <c r="C34" s="203"/>
      <c r="D34" s="46" t="s">
        <v>82</v>
      </c>
      <c r="E34" s="46" t="s">
        <v>197</v>
      </c>
      <c r="F34" s="18" t="s">
        <v>35</v>
      </c>
      <c r="G34" s="179">
        <v>30</v>
      </c>
      <c r="H34" s="179">
        <v>250</v>
      </c>
      <c r="I34" s="18"/>
      <c r="J34" s="52">
        <f t="shared" si="0"/>
        <v>280</v>
      </c>
      <c r="K34" s="59">
        <v>0.19</v>
      </c>
      <c r="L34" s="174">
        <v>0</v>
      </c>
      <c r="M34" s="32">
        <f t="shared" si="1"/>
        <v>1</v>
      </c>
      <c r="N34" s="174">
        <v>0.05</v>
      </c>
      <c r="O34" s="37">
        <f t="shared" si="2"/>
        <v>0.95</v>
      </c>
      <c r="P34" s="14">
        <f t="shared" si="16"/>
        <v>0</v>
      </c>
      <c r="Q34" s="14">
        <f t="shared" si="17"/>
        <v>2.66</v>
      </c>
      <c r="R34" s="186">
        <f t="shared" si="5"/>
        <v>2.66</v>
      </c>
      <c r="S34" s="11">
        <f t="shared" si="6"/>
        <v>53.2</v>
      </c>
      <c r="T34" s="11" t="str">
        <f t="shared" si="7"/>
        <v>Planning</v>
      </c>
      <c r="U34" s="22" t="s">
        <v>199</v>
      </c>
      <c r="V34" s="141" t="s">
        <v>83</v>
      </c>
    </row>
    <row r="35" spans="2:23" s="2" customFormat="1" ht="27" customHeight="1" thickTop="1" thickBot="1" x14ac:dyDescent="0.25">
      <c r="B35" s="198"/>
      <c r="C35" s="203"/>
      <c r="D35" s="46" t="s">
        <v>82</v>
      </c>
      <c r="E35" s="46" t="s">
        <v>196</v>
      </c>
      <c r="F35" s="18" t="s">
        <v>35</v>
      </c>
      <c r="G35" s="179">
        <v>50</v>
      </c>
      <c r="H35" s="18" t="s">
        <v>35</v>
      </c>
      <c r="I35" s="18" t="s">
        <v>35</v>
      </c>
      <c r="J35" s="52">
        <f t="shared" si="0"/>
        <v>50</v>
      </c>
      <c r="K35" s="13">
        <v>0.193</v>
      </c>
      <c r="L35" s="174">
        <v>0</v>
      </c>
      <c r="M35" s="32">
        <f t="shared" si="1"/>
        <v>1</v>
      </c>
      <c r="N35" s="174">
        <v>0.5</v>
      </c>
      <c r="O35" s="37">
        <f t="shared" si="2"/>
        <v>0.5</v>
      </c>
      <c r="P35" s="14">
        <f t="shared" si="16"/>
        <v>0</v>
      </c>
      <c r="Q35" s="14">
        <f t="shared" si="17"/>
        <v>4.8250000000000002</v>
      </c>
      <c r="R35" s="186">
        <f t="shared" si="5"/>
        <v>4.8250000000000002</v>
      </c>
      <c r="S35" s="11">
        <f t="shared" si="6"/>
        <v>9.65</v>
      </c>
      <c r="T35" s="11" t="str">
        <f t="shared" si="7"/>
        <v>Planning</v>
      </c>
      <c r="U35" s="22" t="s">
        <v>199</v>
      </c>
      <c r="V35" s="141" t="s">
        <v>84</v>
      </c>
      <c r="W35" s="2" t="s">
        <v>85</v>
      </c>
    </row>
    <row r="36" spans="2:23" s="2" customFormat="1" ht="27" customHeight="1" thickTop="1" thickBot="1" x14ac:dyDescent="0.25">
      <c r="B36" s="198"/>
      <c r="C36" s="203"/>
      <c r="D36" s="46" t="s">
        <v>82</v>
      </c>
      <c r="E36" s="46" t="s">
        <v>86</v>
      </c>
      <c r="F36" s="18" t="s">
        <v>35</v>
      </c>
      <c r="G36" s="179">
        <v>200</v>
      </c>
      <c r="H36" s="182">
        <v>74.28</v>
      </c>
      <c r="I36" s="180">
        <f>75.72+77.28+78.78</f>
        <v>231.78</v>
      </c>
      <c r="J36" s="52">
        <f t="shared" si="0"/>
        <v>506.05999999999995</v>
      </c>
      <c r="K36" s="13">
        <v>0.193</v>
      </c>
      <c r="L36" s="174">
        <v>1</v>
      </c>
      <c r="M36" s="32">
        <f t="shared" si="1"/>
        <v>0</v>
      </c>
      <c r="N36" s="174">
        <v>0.5</v>
      </c>
      <c r="O36" s="37">
        <f t="shared" si="2"/>
        <v>0.5</v>
      </c>
      <c r="P36" s="14">
        <f t="shared" si="16"/>
        <v>48.834789999999998</v>
      </c>
      <c r="Q36" s="14">
        <f t="shared" si="17"/>
        <v>0</v>
      </c>
      <c r="R36" s="186">
        <f t="shared" si="5"/>
        <v>48.834789999999998</v>
      </c>
      <c r="S36" s="11">
        <f t="shared" si="6"/>
        <v>97.669579999999996</v>
      </c>
      <c r="T36" s="11" t="str">
        <f t="shared" si="7"/>
        <v>Implementation</v>
      </c>
      <c r="U36" s="22" t="s">
        <v>200</v>
      </c>
      <c r="V36" s="141" t="s">
        <v>84</v>
      </c>
      <c r="W36" s="2" t="s">
        <v>85</v>
      </c>
    </row>
    <row r="37" spans="2:23" s="2" customFormat="1" ht="27" customHeight="1" thickTop="1" thickBot="1" x14ac:dyDescent="0.25">
      <c r="B37" s="198"/>
      <c r="C37" s="203"/>
      <c r="D37" s="46" t="s">
        <v>203</v>
      </c>
      <c r="E37" s="46" t="s">
        <v>87</v>
      </c>
      <c r="F37" s="18" t="s">
        <v>35</v>
      </c>
      <c r="G37" s="179">
        <v>198</v>
      </c>
      <c r="H37" s="182">
        <f>49.52</f>
        <v>49.52</v>
      </c>
      <c r="I37" s="180">
        <f>50.48+51.52+52.52</f>
        <v>154.52000000000001</v>
      </c>
      <c r="J37" s="52">
        <f t="shared" si="0"/>
        <v>402.04</v>
      </c>
      <c r="K37" s="13">
        <v>0.193</v>
      </c>
      <c r="L37" s="174">
        <v>1</v>
      </c>
      <c r="M37" s="32">
        <f t="shared" si="1"/>
        <v>0</v>
      </c>
      <c r="N37" s="174">
        <v>0.5</v>
      </c>
      <c r="O37" s="37">
        <f t="shared" si="2"/>
        <v>0.5</v>
      </c>
      <c r="P37" s="14">
        <f t="shared" si="16"/>
        <v>38.796860000000002</v>
      </c>
      <c r="Q37" s="14">
        <f t="shared" si="17"/>
        <v>0</v>
      </c>
      <c r="R37" s="186">
        <f t="shared" si="5"/>
        <v>38.796860000000002</v>
      </c>
      <c r="S37" s="11">
        <f t="shared" si="6"/>
        <v>77.593720000000005</v>
      </c>
      <c r="T37" s="11" t="str">
        <f t="shared" si="7"/>
        <v>Implementation</v>
      </c>
      <c r="U37" s="22" t="s">
        <v>201</v>
      </c>
      <c r="V37" s="141" t="s">
        <v>84</v>
      </c>
    </row>
    <row r="38" spans="2:23" s="2" customFormat="1" ht="27" customHeight="1" thickTop="1" thickBot="1" x14ac:dyDescent="0.25">
      <c r="B38" s="198"/>
      <c r="C38" s="203"/>
      <c r="D38" s="15" t="s">
        <v>88</v>
      </c>
      <c r="E38" s="15" t="s">
        <v>89</v>
      </c>
      <c r="F38" s="18" t="s">
        <v>35</v>
      </c>
      <c r="G38" s="181">
        <v>30</v>
      </c>
      <c r="H38" s="18" t="s">
        <v>35</v>
      </c>
      <c r="I38" s="18" t="s">
        <v>35</v>
      </c>
      <c r="J38" s="52">
        <f t="shared" si="0"/>
        <v>30</v>
      </c>
      <c r="K38" s="13">
        <v>1</v>
      </c>
      <c r="L38" s="153">
        <v>0</v>
      </c>
      <c r="M38" s="32">
        <f t="shared" si="1"/>
        <v>1</v>
      </c>
      <c r="N38" s="153">
        <v>1</v>
      </c>
      <c r="O38" s="37">
        <f t="shared" si="2"/>
        <v>0</v>
      </c>
      <c r="P38" s="14">
        <f t="shared" si="16"/>
        <v>0</v>
      </c>
      <c r="Q38" s="14">
        <f t="shared" si="17"/>
        <v>30</v>
      </c>
      <c r="R38" s="186">
        <f t="shared" si="5"/>
        <v>30</v>
      </c>
      <c r="S38" s="11">
        <f t="shared" si="6"/>
        <v>30</v>
      </c>
      <c r="T38" s="11" t="str">
        <f t="shared" si="7"/>
        <v>Planning</v>
      </c>
      <c r="U38" s="11"/>
      <c r="V38" s="5" t="s">
        <v>90</v>
      </c>
    </row>
    <row r="39" spans="2:23" s="2" customFormat="1" ht="27" customHeight="1" thickTop="1" thickBot="1" x14ac:dyDescent="0.25">
      <c r="B39" s="198"/>
      <c r="C39" s="203"/>
      <c r="D39" s="15" t="s">
        <v>91</v>
      </c>
      <c r="E39" s="15" t="s">
        <v>89</v>
      </c>
      <c r="F39" s="18" t="s">
        <v>35</v>
      </c>
      <c r="G39" s="181">
        <v>1</v>
      </c>
      <c r="H39" s="18" t="s">
        <v>35</v>
      </c>
      <c r="I39" s="18" t="s">
        <v>35</v>
      </c>
      <c r="J39" s="52">
        <f t="shared" si="0"/>
        <v>1</v>
      </c>
      <c r="K39" s="13">
        <v>1</v>
      </c>
      <c r="L39" s="153">
        <v>0</v>
      </c>
      <c r="M39" s="32">
        <f t="shared" si="1"/>
        <v>1</v>
      </c>
      <c r="N39" s="153">
        <v>1</v>
      </c>
      <c r="O39" s="37">
        <f t="shared" si="2"/>
        <v>0</v>
      </c>
      <c r="P39" s="14">
        <f t="shared" si="16"/>
        <v>0</v>
      </c>
      <c r="Q39" s="14">
        <f t="shared" si="17"/>
        <v>1</v>
      </c>
      <c r="R39" s="186">
        <f t="shared" si="5"/>
        <v>1</v>
      </c>
      <c r="S39" s="11">
        <f t="shared" si="6"/>
        <v>1</v>
      </c>
      <c r="T39" s="11" t="str">
        <f t="shared" si="7"/>
        <v>Planning</v>
      </c>
      <c r="U39" s="11"/>
      <c r="V39" s="141" t="s">
        <v>92</v>
      </c>
      <c r="W39" s="2" t="s">
        <v>93</v>
      </c>
    </row>
    <row r="40" spans="2:23" s="2" customFormat="1" ht="27" customHeight="1" thickTop="1" thickBot="1" x14ac:dyDescent="0.25">
      <c r="B40" s="199"/>
      <c r="C40" s="204"/>
      <c r="D40" s="16" t="s">
        <v>57</v>
      </c>
      <c r="E40" s="16" t="s">
        <v>94</v>
      </c>
      <c r="F40" s="181">
        <v>10</v>
      </c>
      <c r="G40" s="181">
        <v>10</v>
      </c>
      <c r="H40" s="18" t="s">
        <v>35</v>
      </c>
      <c r="I40" s="18" t="s">
        <v>35</v>
      </c>
      <c r="J40" s="52">
        <f t="shared" si="0"/>
        <v>20</v>
      </c>
      <c r="K40" s="13">
        <v>0.193</v>
      </c>
      <c r="L40" s="153">
        <v>0</v>
      </c>
      <c r="M40" s="32">
        <f t="shared" si="1"/>
        <v>1</v>
      </c>
      <c r="N40" s="153">
        <v>0.33</v>
      </c>
      <c r="O40" s="37">
        <f t="shared" si="2"/>
        <v>0.66999999999999993</v>
      </c>
      <c r="P40" s="14">
        <f t="shared" si="16"/>
        <v>0</v>
      </c>
      <c r="Q40" s="14">
        <f t="shared" si="17"/>
        <v>1.2738000000000003</v>
      </c>
      <c r="R40" s="186">
        <f t="shared" si="5"/>
        <v>1.2738000000000003</v>
      </c>
      <c r="S40" s="11">
        <f t="shared" si="6"/>
        <v>3.8600000000000003</v>
      </c>
      <c r="T40" s="11" t="str">
        <f t="shared" si="7"/>
        <v>Planning</v>
      </c>
      <c r="U40" s="11" t="s">
        <v>180</v>
      </c>
      <c r="V40" s="141" t="s">
        <v>61</v>
      </c>
    </row>
    <row r="41" spans="2:23" s="2" customFormat="1" ht="27" customHeight="1" thickTop="1" thickBot="1" x14ac:dyDescent="0.25">
      <c r="B41" s="197" t="s">
        <v>95</v>
      </c>
      <c r="C41" s="212" t="s">
        <v>96</v>
      </c>
      <c r="D41" s="47" t="s">
        <v>97</v>
      </c>
      <c r="E41" s="147" t="s">
        <v>261</v>
      </c>
      <c r="F41" s="18" t="s">
        <v>35</v>
      </c>
      <c r="G41" s="179">
        <v>25</v>
      </c>
      <c r="H41" s="180">
        <v>26</v>
      </c>
      <c r="I41" s="185">
        <v>1096</v>
      </c>
      <c r="J41" s="52">
        <f t="shared" si="0"/>
        <v>1147</v>
      </c>
      <c r="K41" s="13">
        <v>1</v>
      </c>
      <c r="L41" s="174">
        <v>0.95</v>
      </c>
      <c r="M41" s="32">
        <f t="shared" si="1"/>
        <v>5.0000000000000044E-2</v>
      </c>
      <c r="N41" s="174">
        <v>0.25</v>
      </c>
      <c r="O41" s="37">
        <f t="shared" si="2"/>
        <v>0.75</v>
      </c>
      <c r="P41" s="14">
        <f t="shared" si="16"/>
        <v>272.41249999999997</v>
      </c>
      <c r="Q41" s="14">
        <f t="shared" si="17"/>
        <v>14.337500000000013</v>
      </c>
      <c r="R41" s="186">
        <f t="shared" si="5"/>
        <v>286.75</v>
      </c>
      <c r="S41" s="11">
        <f t="shared" si="6"/>
        <v>1147</v>
      </c>
      <c r="T41" s="11" t="str">
        <f t="shared" si="7"/>
        <v>Implementation</v>
      </c>
      <c r="U41" s="11" t="s">
        <v>181</v>
      </c>
      <c r="V41" s="141" t="s">
        <v>239</v>
      </c>
    </row>
    <row r="42" spans="2:23" s="2" customFormat="1" ht="27" customHeight="1" thickTop="1" thickBot="1" x14ac:dyDescent="0.3">
      <c r="B42" s="198"/>
      <c r="C42" s="201"/>
      <c r="D42" s="47" t="s">
        <v>97</v>
      </c>
      <c r="E42" s="147" t="s">
        <v>262</v>
      </c>
      <c r="F42" s="18" t="s">
        <v>35</v>
      </c>
      <c r="G42" s="179">
        <v>938</v>
      </c>
      <c r="H42" s="180">
        <v>986</v>
      </c>
      <c r="I42" s="185">
        <v>57138</v>
      </c>
      <c r="J42" s="52">
        <f t="shared" si="0"/>
        <v>59062</v>
      </c>
      <c r="K42" s="13">
        <v>2.3E-2</v>
      </c>
      <c r="L42" s="174">
        <v>0.95</v>
      </c>
      <c r="M42" s="32">
        <f t="shared" si="1"/>
        <v>5.0000000000000044E-2</v>
      </c>
      <c r="N42" s="174">
        <v>0.5</v>
      </c>
      <c r="O42" s="37">
        <f t="shared" si="2"/>
        <v>0.5</v>
      </c>
      <c r="P42" s="14">
        <f t="shared" si="16"/>
        <v>645.25234999999998</v>
      </c>
      <c r="Q42" s="14">
        <f t="shared" si="17"/>
        <v>33.96065000000003</v>
      </c>
      <c r="R42" s="186">
        <f t="shared" si="5"/>
        <v>679.21299999999997</v>
      </c>
      <c r="S42" s="11">
        <f t="shared" si="6"/>
        <v>1358.4259999999999</v>
      </c>
      <c r="T42" s="11" t="str">
        <f t="shared" si="7"/>
        <v>Implementation</v>
      </c>
      <c r="U42" s="11" t="s">
        <v>182</v>
      </c>
      <c r="V42" s="142" t="s">
        <v>244</v>
      </c>
      <c r="W42" s="33"/>
    </row>
    <row r="43" spans="2:23" s="2" customFormat="1" ht="27" customHeight="1" thickTop="1" thickBot="1" x14ac:dyDescent="0.25">
      <c r="B43" s="198"/>
      <c r="C43" s="201"/>
      <c r="D43" s="47" t="s">
        <v>98</v>
      </c>
      <c r="E43" s="147" t="s">
        <v>263</v>
      </c>
      <c r="F43" s="18" t="s">
        <v>35</v>
      </c>
      <c r="G43" s="179">
        <v>35</v>
      </c>
      <c r="H43" s="180">
        <v>36</v>
      </c>
      <c r="I43" s="185">
        <v>1515</v>
      </c>
      <c r="J43" s="52">
        <f t="shared" si="0"/>
        <v>1586</v>
      </c>
      <c r="K43" s="13">
        <v>1</v>
      </c>
      <c r="L43" s="174">
        <v>0.92</v>
      </c>
      <c r="M43" s="32">
        <f t="shared" si="1"/>
        <v>7.999999999999996E-2</v>
      </c>
      <c r="N43" s="174">
        <v>1</v>
      </c>
      <c r="O43" s="37">
        <f t="shared" si="2"/>
        <v>0</v>
      </c>
      <c r="P43" s="14">
        <f>J43*L43*K43*N43</f>
        <v>1459.1200000000001</v>
      </c>
      <c r="Q43" s="14">
        <f>J43*M43*K43*N43</f>
        <v>126.87999999999994</v>
      </c>
      <c r="R43" s="186">
        <f t="shared" si="5"/>
        <v>1586</v>
      </c>
      <c r="S43" s="11">
        <f t="shared" si="6"/>
        <v>1586</v>
      </c>
      <c r="T43" s="11" t="str">
        <f t="shared" si="7"/>
        <v>Implementation</v>
      </c>
      <c r="U43" s="11" t="s">
        <v>183</v>
      </c>
      <c r="V43" s="141" t="s">
        <v>99</v>
      </c>
    </row>
    <row r="44" spans="2:23" s="2" customFormat="1" ht="27" customHeight="1" thickTop="1" thickBot="1" x14ac:dyDescent="0.25">
      <c r="B44" s="198"/>
      <c r="C44" s="201"/>
      <c r="D44" s="47" t="s">
        <v>100</v>
      </c>
      <c r="E44" s="147" t="s">
        <v>265</v>
      </c>
      <c r="F44" s="18" t="s">
        <v>35</v>
      </c>
      <c r="G44" s="179">
        <v>2</v>
      </c>
      <c r="H44" s="180">
        <v>3</v>
      </c>
      <c r="I44" s="185">
        <v>106</v>
      </c>
      <c r="J44" s="52">
        <f t="shared" si="0"/>
        <v>111</v>
      </c>
      <c r="K44" s="13">
        <v>1</v>
      </c>
      <c r="L44" s="174">
        <v>1</v>
      </c>
      <c r="M44" s="32">
        <f t="shared" si="1"/>
        <v>0</v>
      </c>
      <c r="N44" s="174">
        <v>1</v>
      </c>
      <c r="O44" s="37">
        <f t="shared" si="2"/>
        <v>0</v>
      </c>
      <c r="P44" s="14">
        <f t="shared" ref="P44:P56" si="18">J44*L44*K44*N44</f>
        <v>111</v>
      </c>
      <c r="Q44" s="14">
        <f t="shared" ref="Q44:Q56" si="19">J44*M44*K44*N44</f>
        <v>0</v>
      </c>
      <c r="R44" s="186">
        <f t="shared" si="5"/>
        <v>111</v>
      </c>
      <c r="S44" s="11">
        <f t="shared" si="6"/>
        <v>111</v>
      </c>
      <c r="T44" s="11" t="str">
        <f t="shared" si="7"/>
        <v>Implementation</v>
      </c>
      <c r="U44" s="11" t="s">
        <v>184</v>
      </c>
      <c r="V44" s="141" t="s">
        <v>233</v>
      </c>
    </row>
    <row r="45" spans="2:23" s="2" customFormat="1" ht="27" customHeight="1" thickTop="1" thickBot="1" x14ac:dyDescent="0.3">
      <c r="B45" s="198"/>
      <c r="C45" s="201"/>
      <c r="D45" s="47" t="s">
        <v>101</v>
      </c>
      <c r="E45" s="147" t="s">
        <v>264</v>
      </c>
      <c r="F45" s="18" t="s">
        <v>35</v>
      </c>
      <c r="G45" s="179">
        <v>0</v>
      </c>
      <c r="H45" s="180">
        <v>0</v>
      </c>
      <c r="I45" s="185">
        <v>0</v>
      </c>
      <c r="J45" s="52">
        <v>1957</v>
      </c>
      <c r="K45" s="13">
        <v>3.6999999999999998E-2</v>
      </c>
      <c r="L45" s="174">
        <v>0.9</v>
      </c>
      <c r="M45" s="32">
        <f t="shared" si="1"/>
        <v>9.9999999999999978E-2</v>
      </c>
      <c r="N45" s="174">
        <v>0.9</v>
      </c>
      <c r="O45" s="37">
        <f t="shared" si="2"/>
        <v>9.9999999999999978E-2</v>
      </c>
      <c r="P45" s="14">
        <f t="shared" si="18"/>
        <v>58.651289999999996</v>
      </c>
      <c r="Q45" s="14">
        <f t="shared" si="19"/>
        <v>6.5168099999999987</v>
      </c>
      <c r="R45" s="186">
        <f t="shared" si="5"/>
        <v>65.168099999999995</v>
      </c>
      <c r="S45" s="11">
        <f t="shared" si="6"/>
        <v>72.408999999999992</v>
      </c>
      <c r="T45" s="11" t="str">
        <f t="shared" si="7"/>
        <v>Implementation</v>
      </c>
      <c r="U45" s="11" t="s">
        <v>185</v>
      </c>
      <c r="V45" s="88" t="s">
        <v>238</v>
      </c>
    </row>
    <row r="46" spans="2:23" s="2" customFormat="1" ht="27" customHeight="1" thickTop="1" thickBot="1" x14ac:dyDescent="0.25">
      <c r="B46" s="198"/>
      <c r="C46" s="213"/>
      <c r="D46" s="47" t="s">
        <v>101</v>
      </c>
      <c r="E46" s="147" t="s">
        <v>266</v>
      </c>
      <c r="F46" s="18" t="s">
        <v>35</v>
      </c>
      <c r="G46" s="179">
        <v>1</v>
      </c>
      <c r="H46" s="180">
        <v>1</v>
      </c>
      <c r="I46" s="185">
        <v>45</v>
      </c>
      <c r="J46" s="52">
        <f t="shared" si="0"/>
        <v>47</v>
      </c>
      <c r="K46" s="13">
        <v>1</v>
      </c>
      <c r="L46" s="174">
        <v>1</v>
      </c>
      <c r="M46" s="32">
        <f t="shared" si="1"/>
        <v>0</v>
      </c>
      <c r="N46" s="174">
        <v>0.05</v>
      </c>
      <c r="O46" s="37">
        <f t="shared" si="2"/>
        <v>0.95</v>
      </c>
      <c r="P46" s="14">
        <f t="shared" si="18"/>
        <v>2.35</v>
      </c>
      <c r="Q46" s="14">
        <f t="shared" si="19"/>
        <v>0</v>
      </c>
      <c r="R46" s="186">
        <f t="shared" si="5"/>
        <v>2.35</v>
      </c>
      <c r="S46" s="11">
        <f t="shared" si="6"/>
        <v>47</v>
      </c>
      <c r="T46" s="11" t="str">
        <f t="shared" si="7"/>
        <v>Implementation</v>
      </c>
      <c r="U46" s="11"/>
      <c r="V46" s="143" t="s">
        <v>237</v>
      </c>
    </row>
    <row r="47" spans="2:23" s="2" customFormat="1" ht="27" customHeight="1" thickTop="1" thickBot="1" x14ac:dyDescent="0.3">
      <c r="B47" s="198"/>
      <c r="C47" s="200" t="s">
        <v>102</v>
      </c>
      <c r="D47" s="48" t="s">
        <v>103</v>
      </c>
      <c r="E47" s="48" t="s">
        <v>104</v>
      </c>
      <c r="F47" s="26" t="s">
        <v>35</v>
      </c>
      <c r="G47" s="26" t="s">
        <v>35</v>
      </c>
      <c r="H47" s="26" t="s">
        <v>35</v>
      </c>
      <c r="I47" s="26" t="s">
        <v>35</v>
      </c>
      <c r="J47" s="26" t="s">
        <v>35</v>
      </c>
      <c r="K47" s="59" t="s">
        <v>35</v>
      </c>
      <c r="L47" s="175" t="s">
        <v>35</v>
      </c>
      <c r="M47" s="60" t="s">
        <v>35</v>
      </c>
      <c r="N47" s="175" t="s">
        <v>35</v>
      </c>
      <c r="O47" s="61" t="s">
        <v>35</v>
      </c>
      <c r="P47" s="62" t="s">
        <v>35</v>
      </c>
      <c r="Q47" s="62" t="s">
        <v>35</v>
      </c>
      <c r="R47" s="186" t="s">
        <v>35</v>
      </c>
      <c r="S47" s="66" t="s">
        <v>35</v>
      </c>
      <c r="T47" s="11"/>
      <c r="U47" s="11"/>
      <c r="V47"/>
    </row>
    <row r="48" spans="2:23" s="2" customFormat="1" ht="27" customHeight="1" thickTop="1" thickBot="1" x14ac:dyDescent="0.25">
      <c r="B48" s="198"/>
      <c r="C48" s="203"/>
      <c r="D48" s="46" t="s">
        <v>103</v>
      </c>
      <c r="E48" s="46" t="s">
        <v>105</v>
      </c>
      <c r="F48" s="179">
        <v>280</v>
      </c>
      <c r="G48" s="179">
        <v>280</v>
      </c>
      <c r="H48" s="179">
        <v>280</v>
      </c>
      <c r="I48" s="179">
        <v>560</v>
      </c>
      <c r="J48" s="52">
        <f t="shared" si="0"/>
        <v>1400</v>
      </c>
      <c r="K48" s="13">
        <v>2.3E-2</v>
      </c>
      <c r="L48" s="174">
        <v>0.75</v>
      </c>
      <c r="M48" s="32">
        <f t="shared" si="1"/>
        <v>0.25</v>
      </c>
      <c r="N48" s="174">
        <v>0.5</v>
      </c>
      <c r="O48" s="37">
        <f t="shared" si="2"/>
        <v>0.5</v>
      </c>
      <c r="P48" s="14">
        <f t="shared" si="18"/>
        <v>12.074999999999999</v>
      </c>
      <c r="Q48" s="14">
        <f t="shared" si="19"/>
        <v>4.0250000000000004</v>
      </c>
      <c r="R48" s="186">
        <f t="shared" si="5"/>
        <v>16.100000000000001</v>
      </c>
      <c r="S48" s="11">
        <f t="shared" si="6"/>
        <v>32.200000000000003</v>
      </c>
      <c r="T48" s="11" t="str">
        <f t="shared" si="7"/>
        <v>Implementation</v>
      </c>
      <c r="U48" s="11" t="s">
        <v>186</v>
      </c>
      <c r="V48" s="5"/>
    </row>
    <row r="49" spans="2:23" s="2" customFormat="1" ht="27" customHeight="1" thickTop="1" thickBot="1" x14ac:dyDescent="0.25">
      <c r="B49" s="198"/>
      <c r="C49" s="203"/>
      <c r="D49" s="46" t="s">
        <v>106</v>
      </c>
      <c r="E49" s="46" t="s">
        <v>259</v>
      </c>
      <c r="F49" s="179">
        <v>7383</v>
      </c>
      <c r="G49" s="179">
        <v>0</v>
      </c>
      <c r="H49" s="179">
        <v>0</v>
      </c>
      <c r="I49" s="179">
        <v>0</v>
      </c>
      <c r="J49" s="52">
        <f t="shared" si="0"/>
        <v>7383</v>
      </c>
      <c r="K49" s="153">
        <v>0</v>
      </c>
      <c r="L49" s="174">
        <v>1</v>
      </c>
      <c r="M49" s="32">
        <f t="shared" si="1"/>
        <v>0</v>
      </c>
      <c r="N49" s="174">
        <v>0.66</v>
      </c>
      <c r="O49" s="37">
        <f t="shared" si="2"/>
        <v>0.33999999999999997</v>
      </c>
      <c r="P49" s="14">
        <f t="shared" si="18"/>
        <v>0</v>
      </c>
      <c r="Q49" s="14">
        <f t="shared" si="19"/>
        <v>0</v>
      </c>
      <c r="R49" s="186">
        <f t="shared" si="5"/>
        <v>0</v>
      </c>
      <c r="S49" s="11">
        <f t="shared" si="6"/>
        <v>0</v>
      </c>
      <c r="T49" s="11" t="str">
        <f t="shared" si="7"/>
        <v>Implementation</v>
      </c>
      <c r="U49" s="11"/>
      <c r="V49" s="5" t="s">
        <v>107</v>
      </c>
    </row>
    <row r="50" spans="2:23" s="2" customFormat="1" ht="27" customHeight="1" thickTop="1" thickBot="1" x14ac:dyDescent="0.25">
      <c r="B50" s="198"/>
      <c r="C50" s="203"/>
      <c r="D50" s="46" t="s">
        <v>97</v>
      </c>
      <c r="E50" s="46" t="s">
        <v>108</v>
      </c>
      <c r="F50" s="179">
        <v>100</v>
      </c>
      <c r="G50" s="179">
        <v>100</v>
      </c>
      <c r="H50" s="179">
        <v>100</v>
      </c>
      <c r="I50" s="179">
        <v>200</v>
      </c>
      <c r="J50" s="52">
        <f t="shared" si="0"/>
        <v>500</v>
      </c>
      <c r="K50" s="13">
        <v>2.3E-2</v>
      </c>
      <c r="L50" s="174">
        <v>1</v>
      </c>
      <c r="M50" s="32">
        <f>1-L50</f>
        <v>0</v>
      </c>
      <c r="N50" s="174">
        <v>0.5</v>
      </c>
      <c r="O50" s="37">
        <f t="shared" si="2"/>
        <v>0.5</v>
      </c>
      <c r="P50" s="14">
        <f t="shared" si="18"/>
        <v>5.75</v>
      </c>
      <c r="Q50" s="14">
        <f t="shared" si="19"/>
        <v>0</v>
      </c>
      <c r="R50" s="186">
        <f t="shared" si="5"/>
        <v>5.75</v>
      </c>
      <c r="S50" s="11">
        <f t="shared" si="6"/>
        <v>11.5</v>
      </c>
      <c r="T50" s="11" t="str">
        <f t="shared" si="7"/>
        <v>Implementation</v>
      </c>
      <c r="U50" s="11" t="s">
        <v>187</v>
      </c>
      <c r="V50" s="5" t="s">
        <v>109</v>
      </c>
    </row>
    <row r="51" spans="2:23" s="2" customFormat="1" ht="27" customHeight="1" thickTop="1" thickBot="1" x14ac:dyDescent="0.3">
      <c r="B51" s="198"/>
      <c r="C51" s="203"/>
      <c r="D51" s="46" t="s">
        <v>101</v>
      </c>
      <c r="E51" s="46" t="s">
        <v>258</v>
      </c>
      <c r="F51" s="179">
        <f>492/5</f>
        <v>98.4</v>
      </c>
      <c r="G51" s="179">
        <f>492/5</f>
        <v>98.4</v>
      </c>
      <c r="H51" s="179">
        <f>492/5</f>
        <v>98.4</v>
      </c>
      <c r="I51" s="179">
        <f>(492/5)*2</f>
        <v>196.8</v>
      </c>
      <c r="J51" s="52">
        <f t="shared" si="0"/>
        <v>492.00000000000006</v>
      </c>
      <c r="K51" s="13">
        <v>3.6999999999999998E-2</v>
      </c>
      <c r="L51" s="174">
        <v>1</v>
      </c>
      <c r="M51" s="32">
        <f t="shared" si="1"/>
        <v>0</v>
      </c>
      <c r="N51" s="174">
        <v>0.75</v>
      </c>
      <c r="O51" s="37">
        <f t="shared" si="2"/>
        <v>0.25</v>
      </c>
      <c r="P51" s="14">
        <f t="shared" si="18"/>
        <v>13.653</v>
      </c>
      <c r="Q51" s="14">
        <f t="shared" si="19"/>
        <v>0</v>
      </c>
      <c r="R51" s="186">
        <f t="shared" si="5"/>
        <v>13.653</v>
      </c>
      <c r="S51" s="11">
        <f t="shared" si="6"/>
        <v>18.204000000000001</v>
      </c>
      <c r="T51" s="11" t="str">
        <f t="shared" si="7"/>
        <v>Implementation</v>
      </c>
      <c r="U51" s="11" t="s">
        <v>185</v>
      </c>
      <c r="V51" s="144" t="s">
        <v>109</v>
      </c>
    </row>
    <row r="52" spans="2:23" s="2" customFormat="1" ht="27" customHeight="1" thickTop="1" thickBot="1" x14ac:dyDescent="0.25">
      <c r="B52" s="198"/>
      <c r="C52" s="203"/>
      <c r="D52" s="46" t="s">
        <v>101</v>
      </c>
      <c r="E52" s="46" t="s">
        <v>110</v>
      </c>
      <c r="F52" s="179">
        <f>491/5</f>
        <v>98.2</v>
      </c>
      <c r="G52" s="179">
        <f>491/5</f>
        <v>98.2</v>
      </c>
      <c r="H52" s="179">
        <f>491/5</f>
        <v>98.2</v>
      </c>
      <c r="I52" s="179">
        <f>(491/5)*2</f>
        <v>196.4</v>
      </c>
      <c r="J52" s="52">
        <f t="shared" si="0"/>
        <v>491</v>
      </c>
      <c r="K52" s="13">
        <v>2.3E-2</v>
      </c>
      <c r="L52" s="174">
        <v>0.75</v>
      </c>
      <c r="M52" s="32">
        <f t="shared" si="1"/>
        <v>0.25</v>
      </c>
      <c r="N52" s="174">
        <v>0.25</v>
      </c>
      <c r="O52" s="37">
        <f t="shared" si="2"/>
        <v>0.75</v>
      </c>
      <c r="P52" s="14">
        <f t="shared" si="18"/>
        <v>2.1174374999999999</v>
      </c>
      <c r="Q52" s="14">
        <f t="shared" si="19"/>
        <v>0.70581249999999995</v>
      </c>
      <c r="R52" s="186">
        <f t="shared" si="5"/>
        <v>2.8232499999999998</v>
      </c>
      <c r="S52" s="11">
        <f t="shared" si="6"/>
        <v>11.292999999999999</v>
      </c>
      <c r="T52" s="11" t="str">
        <f t="shared" si="7"/>
        <v>Implementation</v>
      </c>
      <c r="U52" s="11" t="s">
        <v>188</v>
      </c>
      <c r="V52" s="5" t="s">
        <v>109</v>
      </c>
    </row>
    <row r="53" spans="2:23" s="2" customFormat="1" ht="27" customHeight="1" thickTop="1" thickBot="1" x14ac:dyDescent="0.25">
      <c r="B53" s="198"/>
      <c r="C53" s="203"/>
      <c r="D53" s="46" t="s">
        <v>97</v>
      </c>
      <c r="E53" s="46" t="s">
        <v>256</v>
      </c>
      <c r="F53" s="179">
        <v>233</v>
      </c>
      <c r="G53" s="179">
        <v>233</v>
      </c>
      <c r="H53" s="179">
        <v>233</v>
      </c>
      <c r="I53" s="179">
        <f>3500/3/5*2</f>
        <v>466.66666666666669</v>
      </c>
      <c r="J53" s="52">
        <f t="shared" si="0"/>
        <v>1165.6666666666667</v>
      </c>
      <c r="K53" s="13">
        <v>2.3E-2</v>
      </c>
      <c r="L53" s="174">
        <v>1</v>
      </c>
      <c r="M53" s="32">
        <f t="shared" si="1"/>
        <v>0</v>
      </c>
      <c r="N53" s="174">
        <v>0.5</v>
      </c>
      <c r="O53" s="37">
        <f t="shared" si="2"/>
        <v>0.5</v>
      </c>
      <c r="P53" s="14">
        <f t="shared" si="18"/>
        <v>13.405166666666668</v>
      </c>
      <c r="Q53" s="14">
        <f t="shared" si="19"/>
        <v>0</v>
      </c>
      <c r="R53" s="186">
        <f t="shared" si="5"/>
        <v>13.405166666666668</v>
      </c>
      <c r="S53" s="11">
        <f t="shared" si="6"/>
        <v>26.810333333333336</v>
      </c>
      <c r="T53" s="11" t="str">
        <f t="shared" si="7"/>
        <v>Implementation</v>
      </c>
      <c r="U53" s="11" t="s">
        <v>181</v>
      </c>
      <c r="V53" s="5" t="s">
        <v>109</v>
      </c>
    </row>
    <row r="54" spans="2:23" s="2" customFormat="1" ht="27" customHeight="1" thickTop="1" thickBot="1" x14ac:dyDescent="0.25">
      <c r="B54" s="198"/>
      <c r="C54" s="203"/>
      <c r="D54" s="46" t="s">
        <v>97</v>
      </c>
      <c r="E54" s="46" t="s">
        <v>257</v>
      </c>
      <c r="F54" s="180">
        <v>200</v>
      </c>
      <c r="G54" s="180">
        <v>200</v>
      </c>
      <c r="H54" s="180">
        <v>200</v>
      </c>
      <c r="I54" s="180">
        <v>400</v>
      </c>
      <c r="J54" s="52">
        <f t="shared" si="0"/>
        <v>1000</v>
      </c>
      <c r="K54" s="13">
        <v>2.3E-2</v>
      </c>
      <c r="L54" s="174">
        <v>1</v>
      </c>
      <c r="M54" s="32">
        <f t="shared" si="1"/>
        <v>0</v>
      </c>
      <c r="N54" s="174">
        <v>0.5</v>
      </c>
      <c r="O54" s="37">
        <f t="shared" si="2"/>
        <v>0.5</v>
      </c>
      <c r="P54" s="14">
        <f t="shared" si="18"/>
        <v>11.5</v>
      </c>
      <c r="Q54" s="14">
        <f t="shared" si="19"/>
        <v>0</v>
      </c>
      <c r="R54" s="186">
        <f t="shared" si="5"/>
        <v>11.5</v>
      </c>
      <c r="S54" s="11">
        <f t="shared" si="6"/>
        <v>23</v>
      </c>
      <c r="T54" s="11" t="str">
        <f t="shared" si="7"/>
        <v>Implementation</v>
      </c>
      <c r="U54" s="11" t="s">
        <v>182</v>
      </c>
      <c r="V54" s="5" t="s">
        <v>235</v>
      </c>
    </row>
    <row r="55" spans="2:23" s="2" customFormat="1" ht="27" customHeight="1" thickTop="1" thickBot="1" x14ac:dyDescent="0.25">
      <c r="B55" s="198"/>
      <c r="C55" s="203"/>
      <c r="D55" s="47" t="s">
        <v>111</v>
      </c>
      <c r="E55" s="47" t="s">
        <v>112</v>
      </c>
      <c r="F55" s="18" t="s">
        <v>35</v>
      </c>
      <c r="G55" s="179">
        <v>85</v>
      </c>
      <c r="H55" s="180">
        <v>229</v>
      </c>
      <c r="I55" s="182">
        <f>1000-G55-H55</f>
        <v>686</v>
      </c>
      <c r="J55" s="52">
        <f t="shared" ref="J55" si="20">SUM(F55:I55)</f>
        <v>1000</v>
      </c>
      <c r="K55" s="13">
        <v>2.3E-2</v>
      </c>
      <c r="L55" s="174">
        <v>0.9</v>
      </c>
      <c r="M55" s="32">
        <f t="shared" ref="M55" si="21">1-L55</f>
        <v>9.9999999999999978E-2</v>
      </c>
      <c r="N55" s="174">
        <v>0.05</v>
      </c>
      <c r="O55" s="37">
        <f t="shared" ref="O55" si="22">1-N55</f>
        <v>0.95</v>
      </c>
      <c r="P55" s="14">
        <f t="shared" si="18"/>
        <v>1.0349999999999999</v>
      </c>
      <c r="Q55" s="14">
        <f t="shared" si="19"/>
        <v>0.11499999999999998</v>
      </c>
      <c r="R55" s="186">
        <f t="shared" si="5"/>
        <v>1.1499999999999999</v>
      </c>
      <c r="S55" s="11">
        <f t="shared" si="6"/>
        <v>23</v>
      </c>
      <c r="T55" s="11" t="str">
        <f t="shared" si="7"/>
        <v>Implementation</v>
      </c>
      <c r="U55" s="11"/>
      <c r="V55" s="141" t="s">
        <v>113</v>
      </c>
    </row>
    <row r="56" spans="2:23" s="2" customFormat="1" ht="27" customHeight="1" thickTop="1" thickBot="1" x14ac:dyDescent="0.25">
      <c r="B56" s="198"/>
      <c r="C56" s="203"/>
      <c r="D56" s="46" t="s">
        <v>114</v>
      </c>
      <c r="E56" s="46" t="s">
        <v>115</v>
      </c>
      <c r="F56" s="179">
        <v>124</v>
      </c>
      <c r="G56" s="179">
        <v>124</v>
      </c>
      <c r="H56" s="179">
        <v>124</v>
      </c>
      <c r="I56" s="179">
        <f>618/5*2</f>
        <v>247.2</v>
      </c>
      <c r="J56" s="52">
        <f t="shared" si="0"/>
        <v>619.20000000000005</v>
      </c>
      <c r="K56" s="13">
        <v>2.3E-2</v>
      </c>
      <c r="L56" s="174">
        <v>1</v>
      </c>
      <c r="M56" s="32">
        <f t="shared" si="1"/>
        <v>0</v>
      </c>
      <c r="N56" s="174">
        <v>0.1</v>
      </c>
      <c r="O56" s="37">
        <f t="shared" si="2"/>
        <v>0.9</v>
      </c>
      <c r="P56" s="14">
        <f t="shared" si="18"/>
        <v>1.4241600000000001</v>
      </c>
      <c r="Q56" s="14">
        <f t="shared" si="19"/>
        <v>0</v>
      </c>
      <c r="R56" s="186">
        <f t="shared" si="5"/>
        <v>1.4241600000000001</v>
      </c>
      <c r="S56" s="11">
        <f t="shared" si="6"/>
        <v>14.2416</v>
      </c>
      <c r="T56" s="11" t="str">
        <f t="shared" si="7"/>
        <v>Implementation</v>
      </c>
      <c r="U56" s="11" t="s">
        <v>189</v>
      </c>
      <c r="V56" s="5" t="s">
        <v>109</v>
      </c>
    </row>
    <row r="57" spans="2:23" s="2" customFormat="1" ht="27" customHeight="1" thickTop="1" thickBot="1" x14ac:dyDescent="0.25">
      <c r="B57" s="198"/>
      <c r="C57" s="204"/>
      <c r="D57" s="49" t="s">
        <v>116</v>
      </c>
      <c r="E57" s="49" t="s">
        <v>117</v>
      </c>
      <c r="F57" s="179">
        <f>216/5</f>
        <v>43.2</v>
      </c>
      <c r="G57" s="179">
        <f>216/5</f>
        <v>43.2</v>
      </c>
      <c r="H57" s="179">
        <f>216/5</f>
        <v>43.2</v>
      </c>
      <c r="I57" s="179">
        <f>216/5*2</f>
        <v>86.4</v>
      </c>
      <c r="J57" s="52">
        <f t="shared" si="0"/>
        <v>216.00000000000003</v>
      </c>
      <c r="K57" s="13">
        <v>2.3E-2</v>
      </c>
      <c r="L57" s="174">
        <v>0.9</v>
      </c>
      <c r="M57" s="32">
        <f>1-L57</f>
        <v>9.9999999999999978E-2</v>
      </c>
      <c r="N57" s="174">
        <v>0.1</v>
      </c>
      <c r="O57" s="37">
        <f t="shared" si="2"/>
        <v>0.9</v>
      </c>
      <c r="P57" s="14">
        <f>J57*L57*K57*N57</f>
        <v>0.44712000000000007</v>
      </c>
      <c r="Q57" s="14">
        <f>J57*M57*K57*N57</f>
        <v>4.9680000000000002E-2</v>
      </c>
      <c r="R57" s="186">
        <f t="shared" si="5"/>
        <v>0.49680000000000007</v>
      </c>
      <c r="S57" s="11">
        <f t="shared" si="6"/>
        <v>4.9680000000000009</v>
      </c>
      <c r="T57" s="11" t="str">
        <f t="shared" si="7"/>
        <v>Implementation</v>
      </c>
      <c r="U57" s="11" t="s">
        <v>190</v>
      </c>
      <c r="V57" s="5" t="s">
        <v>109</v>
      </c>
    </row>
    <row r="58" spans="2:23" s="2" customFormat="1" ht="27" customHeight="1" thickTop="1" thickBot="1" x14ac:dyDescent="0.25">
      <c r="B58" s="198"/>
      <c r="C58" s="200" t="s">
        <v>118</v>
      </c>
      <c r="D58" s="45" t="s">
        <v>101</v>
      </c>
      <c r="E58" s="45" t="s">
        <v>119</v>
      </c>
      <c r="F58" s="18" t="s">
        <v>35</v>
      </c>
      <c r="G58" s="179">
        <f>2600/5</f>
        <v>520</v>
      </c>
      <c r="H58" s="179">
        <f>2600/5</f>
        <v>520</v>
      </c>
      <c r="I58" s="179">
        <f>2600/5*3</f>
        <v>1560</v>
      </c>
      <c r="J58" s="52">
        <f t="shared" si="0"/>
        <v>2600</v>
      </c>
      <c r="K58" s="13">
        <v>3.6999999999999998E-2</v>
      </c>
      <c r="L58" s="174">
        <v>0.9</v>
      </c>
      <c r="M58" s="32">
        <f t="shared" si="1"/>
        <v>9.9999999999999978E-2</v>
      </c>
      <c r="N58" s="174">
        <v>0.2</v>
      </c>
      <c r="O58" s="37">
        <f t="shared" si="2"/>
        <v>0.8</v>
      </c>
      <c r="P58" s="14">
        <f t="shared" ref="P58:P63" si="23">J58*L58*K58*N58</f>
        <v>17.315999999999999</v>
      </c>
      <c r="Q58" s="14">
        <f t="shared" ref="Q58:Q63" si="24">J58*M58*K58*N58</f>
        <v>1.9239999999999995</v>
      </c>
      <c r="R58" s="186">
        <f t="shared" si="5"/>
        <v>19.239999999999998</v>
      </c>
      <c r="S58" s="11">
        <f t="shared" si="6"/>
        <v>96.199999999999989</v>
      </c>
      <c r="T58" s="11" t="str">
        <f t="shared" si="7"/>
        <v>Implementation</v>
      </c>
      <c r="U58" s="11"/>
      <c r="V58" s="5" t="s">
        <v>120</v>
      </c>
    </row>
    <row r="59" spans="2:23" s="2" customFormat="1" ht="27" customHeight="1" thickTop="1" thickBot="1" x14ac:dyDescent="0.25">
      <c r="B59" s="198"/>
      <c r="C59" s="201"/>
      <c r="D59" s="50" t="s">
        <v>116</v>
      </c>
      <c r="E59" s="50" t="s">
        <v>117</v>
      </c>
      <c r="F59" s="18" t="s">
        <v>35</v>
      </c>
      <c r="G59" s="183">
        <f>220/10</f>
        <v>22</v>
      </c>
      <c r="H59" s="183">
        <f>220/10</f>
        <v>22</v>
      </c>
      <c r="I59" s="183">
        <f>220/10*8</f>
        <v>176</v>
      </c>
      <c r="J59" s="52">
        <f t="shared" si="0"/>
        <v>220</v>
      </c>
      <c r="K59" s="13">
        <v>2.3E-2</v>
      </c>
      <c r="L59" s="176">
        <v>1</v>
      </c>
      <c r="M59" s="32">
        <f t="shared" si="1"/>
        <v>0</v>
      </c>
      <c r="N59" s="176">
        <v>0.25</v>
      </c>
      <c r="O59" s="37">
        <f t="shared" si="2"/>
        <v>0.75</v>
      </c>
      <c r="P59" s="14">
        <f t="shared" si="23"/>
        <v>1.2649999999999999</v>
      </c>
      <c r="Q59" s="14">
        <f t="shared" si="24"/>
        <v>0</v>
      </c>
      <c r="R59" s="186">
        <f t="shared" si="5"/>
        <v>1.2649999999999999</v>
      </c>
      <c r="S59" s="11">
        <f t="shared" si="6"/>
        <v>5.0599999999999996</v>
      </c>
      <c r="T59" s="11" t="str">
        <f t="shared" si="7"/>
        <v>Implementation</v>
      </c>
      <c r="U59" s="11"/>
      <c r="V59" s="5" t="s">
        <v>121</v>
      </c>
    </row>
    <row r="60" spans="2:23" s="2" customFormat="1" ht="27" customHeight="1" thickTop="1" thickBot="1" x14ac:dyDescent="0.25">
      <c r="B60" s="198"/>
      <c r="C60" s="201"/>
      <c r="D60" s="50" t="s">
        <v>122</v>
      </c>
      <c r="E60" s="50" t="s">
        <v>123</v>
      </c>
      <c r="F60" s="18" t="s">
        <v>35</v>
      </c>
      <c r="G60" s="183">
        <f>121.25/5</f>
        <v>24.25</v>
      </c>
      <c r="H60" s="183">
        <f>121.25/5</f>
        <v>24.25</v>
      </c>
      <c r="I60" s="183">
        <f>121.25/5*3</f>
        <v>72.75</v>
      </c>
      <c r="J60" s="52">
        <f t="shared" si="0"/>
        <v>121.25</v>
      </c>
      <c r="K60" s="13">
        <v>2.3E-2</v>
      </c>
      <c r="L60" s="176">
        <v>1</v>
      </c>
      <c r="M60" s="32">
        <f t="shared" si="1"/>
        <v>0</v>
      </c>
      <c r="N60" s="176">
        <v>0.25</v>
      </c>
      <c r="O60" s="37">
        <f t="shared" si="2"/>
        <v>0.75</v>
      </c>
      <c r="P60" s="14">
        <f t="shared" si="23"/>
        <v>0.69718749999999996</v>
      </c>
      <c r="Q60" s="14">
        <f t="shared" si="24"/>
        <v>0</v>
      </c>
      <c r="R60" s="186">
        <f t="shared" si="5"/>
        <v>0.69718749999999996</v>
      </c>
      <c r="S60" s="11">
        <f t="shared" si="6"/>
        <v>2.7887499999999998</v>
      </c>
      <c r="T60" s="11" t="str">
        <f t="shared" si="7"/>
        <v>Implementation</v>
      </c>
      <c r="U60" s="11" t="s">
        <v>191</v>
      </c>
      <c r="V60" s="5" t="s">
        <v>124</v>
      </c>
    </row>
    <row r="61" spans="2:23" s="2" customFormat="1" ht="27" customHeight="1" thickTop="1" thickBot="1" x14ac:dyDescent="0.25">
      <c r="B61" s="198"/>
      <c r="C61" s="201"/>
      <c r="D61" s="50" t="s">
        <v>100</v>
      </c>
      <c r="E61" s="50" t="s">
        <v>125</v>
      </c>
      <c r="F61" s="18" t="s">
        <v>35</v>
      </c>
      <c r="G61" s="183">
        <f>2800/5</f>
        <v>560</v>
      </c>
      <c r="H61" s="183">
        <f>2800/5</f>
        <v>560</v>
      </c>
      <c r="I61" s="183">
        <f>2800/5*3</f>
        <v>1680</v>
      </c>
      <c r="J61" s="52">
        <f t="shared" si="0"/>
        <v>2800</v>
      </c>
      <c r="K61" s="13">
        <v>2.3E-2</v>
      </c>
      <c r="L61" s="176">
        <v>0.9</v>
      </c>
      <c r="M61" s="32">
        <f t="shared" si="1"/>
        <v>9.9999999999999978E-2</v>
      </c>
      <c r="N61" s="176">
        <v>0.1</v>
      </c>
      <c r="O61" s="37">
        <f t="shared" si="2"/>
        <v>0.9</v>
      </c>
      <c r="P61" s="14">
        <f t="shared" si="23"/>
        <v>5.7960000000000003</v>
      </c>
      <c r="Q61" s="14">
        <f t="shared" si="24"/>
        <v>0.64399999999999991</v>
      </c>
      <c r="R61" s="186">
        <f t="shared" si="5"/>
        <v>6.44</v>
      </c>
      <c r="S61" s="11">
        <f t="shared" si="6"/>
        <v>64.400000000000006</v>
      </c>
      <c r="T61" s="11" t="str">
        <f t="shared" si="7"/>
        <v>Implementation</v>
      </c>
      <c r="U61" s="11" t="s">
        <v>192</v>
      </c>
      <c r="V61" s="5" t="s">
        <v>126</v>
      </c>
    </row>
    <row r="62" spans="2:23" s="2" customFormat="1" ht="27" customHeight="1" thickTop="1" thickBot="1" x14ac:dyDescent="0.25">
      <c r="B62" s="198"/>
      <c r="C62" s="201"/>
      <c r="D62" s="50" t="s">
        <v>127</v>
      </c>
      <c r="E62" s="50" t="s">
        <v>128</v>
      </c>
      <c r="F62" s="18" t="s">
        <v>35</v>
      </c>
      <c r="G62" s="183">
        <f>250/10</f>
        <v>25</v>
      </c>
      <c r="H62" s="183">
        <f>250/10</f>
        <v>25</v>
      </c>
      <c r="I62" s="183">
        <f>250/10*8</f>
        <v>200</v>
      </c>
      <c r="J62" s="52">
        <f t="shared" si="0"/>
        <v>250</v>
      </c>
      <c r="K62" s="13">
        <v>2.3E-2</v>
      </c>
      <c r="L62" s="176">
        <v>1</v>
      </c>
      <c r="M62" s="32">
        <f t="shared" si="1"/>
        <v>0</v>
      </c>
      <c r="N62" s="176">
        <v>0.1</v>
      </c>
      <c r="O62" s="37">
        <f t="shared" si="2"/>
        <v>0.9</v>
      </c>
      <c r="P62" s="14">
        <f t="shared" si="23"/>
        <v>0.57500000000000007</v>
      </c>
      <c r="Q62" s="14">
        <f t="shared" si="24"/>
        <v>0</v>
      </c>
      <c r="R62" s="186">
        <f t="shared" si="5"/>
        <v>0.57500000000000007</v>
      </c>
      <c r="S62" s="11">
        <f t="shared" si="6"/>
        <v>5.75</v>
      </c>
      <c r="T62" s="11" t="str">
        <f t="shared" si="7"/>
        <v>Implementation</v>
      </c>
      <c r="U62" s="11" t="s">
        <v>193</v>
      </c>
      <c r="V62" s="5" t="s">
        <v>129</v>
      </c>
    </row>
    <row r="63" spans="2:23" s="2" customFormat="1" ht="27" customHeight="1" thickTop="1" thickBot="1" x14ac:dyDescent="0.25">
      <c r="B63" s="208"/>
      <c r="C63" s="202"/>
      <c r="D63" s="51" t="s">
        <v>127</v>
      </c>
      <c r="E63" s="51" t="s">
        <v>130</v>
      </c>
      <c r="F63" s="19" t="s">
        <v>35</v>
      </c>
      <c r="G63" s="184">
        <f>250/10</f>
        <v>25</v>
      </c>
      <c r="H63" s="184">
        <f>250/10</f>
        <v>25</v>
      </c>
      <c r="I63" s="184">
        <f>250/10*8</f>
        <v>200</v>
      </c>
      <c r="J63" s="19">
        <f t="shared" si="0"/>
        <v>250</v>
      </c>
      <c r="K63" s="154">
        <v>2.3E-2</v>
      </c>
      <c r="L63" s="20">
        <v>1</v>
      </c>
      <c r="M63" s="20">
        <f t="shared" si="1"/>
        <v>0</v>
      </c>
      <c r="N63" s="20">
        <v>0.1</v>
      </c>
      <c r="O63" s="38">
        <f t="shared" si="2"/>
        <v>0.9</v>
      </c>
      <c r="P63" s="67">
        <f t="shared" si="23"/>
        <v>0.57500000000000007</v>
      </c>
      <c r="Q63" s="67">
        <f t="shared" si="24"/>
        <v>0</v>
      </c>
      <c r="R63" s="187">
        <f t="shared" si="5"/>
        <v>0.57500000000000007</v>
      </c>
      <c r="S63" s="68">
        <f t="shared" si="6"/>
        <v>5.75</v>
      </c>
      <c r="T63" s="87" t="str">
        <f t="shared" si="7"/>
        <v>Implementation</v>
      </c>
      <c r="U63" s="87" t="s">
        <v>194</v>
      </c>
      <c r="V63" s="145" t="s">
        <v>129</v>
      </c>
      <c r="W63" s="12"/>
    </row>
    <row r="64" spans="2:23" s="2" customFormat="1" ht="9" customHeight="1" thickTop="1" x14ac:dyDescent="0.25">
      <c r="B64" s="3"/>
      <c r="C64" s="3"/>
      <c r="F64" s="23"/>
      <c r="G64" s="79"/>
      <c r="H64" s="79"/>
      <c r="I64" s="79"/>
      <c r="J64" s="79"/>
      <c r="K64" s="21"/>
      <c r="L64" s="21"/>
      <c r="M64" s="21"/>
      <c r="N64" s="21"/>
      <c r="O64" s="80"/>
      <c r="P64" s="22"/>
      <c r="Q64" s="22"/>
      <c r="R64" s="22"/>
      <c r="S64" s="22"/>
      <c r="T64" s="22"/>
      <c r="U64" s="22"/>
      <c r="V64" s="4"/>
    </row>
    <row r="65" spans="2:22" s="2" customFormat="1" ht="26.45" customHeight="1" x14ac:dyDescent="0.25">
      <c r="B65" s="93"/>
      <c r="C65" s="93"/>
      <c r="D65" s="93"/>
      <c r="E65" s="71" t="s">
        <v>131</v>
      </c>
      <c r="F65" s="165">
        <f>SUM(F6:F9)</f>
        <v>1551.11838751851</v>
      </c>
      <c r="G65" s="165">
        <f>SUM(G6:G9)</f>
        <v>26</v>
      </c>
      <c r="H65" s="165">
        <f>SUM(H6:H9)</f>
        <v>26</v>
      </c>
      <c r="I65" s="165">
        <f>SUM(I6:I9)</f>
        <v>376</v>
      </c>
      <c r="J65" s="165">
        <f>SUM(J6:J9)</f>
        <v>1979.11838751851</v>
      </c>
      <c r="K65" s="169"/>
      <c r="L65" s="169"/>
      <c r="M65" s="169"/>
      <c r="N65" s="169"/>
      <c r="O65" s="169"/>
      <c r="P65" s="165">
        <f>SUM(P6:P9)</f>
        <v>1957.7183875185099</v>
      </c>
      <c r="Q65" s="165">
        <f>SUM(Q6:Q9)</f>
        <v>21.40000000000002</v>
      </c>
      <c r="R65" s="24"/>
      <c r="S65" s="165">
        <f>SUM(S6:S9)</f>
        <v>1979.11838751851</v>
      </c>
      <c r="T65" s="23"/>
      <c r="U65" s="23"/>
      <c r="V65" s="4"/>
    </row>
    <row r="66" spans="2:22" s="2" customFormat="1" ht="26.45" customHeight="1" x14ac:dyDescent="0.25">
      <c r="B66" s="93"/>
      <c r="C66" s="93"/>
      <c r="D66" s="93"/>
      <c r="E66" s="10" t="s">
        <v>132</v>
      </c>
      <c r="F66" s="166">
        <f>SUM(F19:F40)</f>
        <v>175</v>
      </c>
      <c r="G66" s="166">
        <f>SUM(G19:G40)</f>
        <v>1547</v>
      </c>
      <c r="H66" s="166">
        <f>SUM(H19:H40)</f>
        <v>919.4</v>
      </c>
      <c r="I66" s="166">
        <f>SUM(I19:I40)</f>
        <v>397.3</v>
      </c>
      <c r="J66" s="166">
        <f>SUM(J19:J40)</f>
        <v>3054.7</v>
      </c>
      <c r="K66" s="170"/>
      <c r="L66" s="170"/>
      <c r="M66" s="170"/>
      <c r="N66" s="170"/>
      <c r="O66" s="170"/>
      <c r="P66" s="166">
        <f>SUM(P19:P40)</f>
        <v>359.41460221428571</v>
      </c>
      <c r="Q66" s="166">
        <f>SUM(Q19:Q40)</f>
        <v>83.582276357142845</v>
      </c>
      <c r="R66" s="23"/>
      <c r="S66" s="166">
        <f>SUM(S19:S40)</f>
        <v>779.53172857142852</v>
      </c>
      <c r="T66" s="23"/>
      <c r="U66" s="23"/>
      <c r="V66" s="4"/>
    </row>
    <row r="67" spans="2:22" s="2" customFormat="1" ht="26.45" customHeight="1" thickBot="1" x14ac:dyDescent="0.3">
      <c r="B67" s="93"/>
      <c r="C67" s="93"/>
      <c r="D67" s="93"/>
      <c r="E67" s="70" t="s">
        <v>133</v>
      </c>
      <c r="F67" s="167">
        <f>SUM(F41:F63)</f>
        <v>8559.7999999999993</v>
      </c>
      <c r="G67" s="167">
        <f>SUM(G41:G63)</f>
        <v>3439.05</v>
      </c>
      <c r="H67" s="167">
        <f>SUM(H41:H63)</f>
        <v>3634.05</v>
      </c>
      <c r="I67" s="167">
        <f>SUM(I41:I63)</f>
        <v>66828.216666666674</v>
      </c>
      <c r="J67" s="167">
        <f>SUM(J41:J63)</f>
        <v>84418.116666666669</v>
      </c>
      <c r="K67" s="171"/>
      <c r="L67" s="171"/>
      <c r="M67" s="171"/>
      <c r="N67" s="171"/>
      <c r="O67" s="171"/>
      <c r="P67" s="167">
        <f>SUM(P41:P63)</f>
        <v>2636.4172116666646</v>
      </c>
      <c r="Q67" s="167">
        <f>SUM(Q41:Q63)</f>
        <v>189.15845250000001</v>
      </c>
      <c r="R67" s="25"/>
      <c r="S67" s="167">
        <f>SUM(S41:S63)</f>
        <v>4667.0006833333309</v>
      </c>
      <c r="T67" s="23"/>
      <c r="U67" s="23"/>
      <c r="V67" s="4"/>
    </row>
    <row r="68" spans="2:22" s="2" customFormat="1" ht="26.45" customHeight="1" thickTop="1" x14ac:dyDescent="0.25">
      <c r="B68" s="93"/>
      <c r="C68" s="93"/>
      <c r="D68" s="93"/>
      <c r="E68" s="10" t="s">
        <v>21</v>
      </c>
      <c r="F68" s="172">
        <f>SUM(F6:F63)</f>
        <v>10831.91838751851</v>
      </c>
      <c r="G68" s="172">
        <f>SUM(G6:G63)</f>
        <v>5070.0499999999993</v>
      </c>
      <c r="H68" s="172">
        <f>SUM(H6:H63)</f>
        <v>4638.45</v>
      </c>
      <c r="I68" s="172">
        <f>SUM(I6:I63)</f>
        <v>69972.516666666663</v>
      </c>
      <c r="J68" s="172">
        <f>SUM(J6:J63)</f>
        <v>92485.935054185175</v>
      </c>
      <c r="K68" s="173" t="s">
        <v>35</v>
      </c>
      <c r="L68" s="173" t="s">
        <v>35</v>
      </c>
      <c r="M68" s="173" t="s">
        <v>35</v>
      </c>
      <c r="N68" s="173" t="s">
        <v>35</v>
      </c>
      <c r="O68" s="173" t="s">
        <v>35</v>
      </c>
      <c r="P68" s="168">
        <f>SUM(P6:P63)</f>
        <v>5106.3217213994612</v>
      </c>
      <c r="Q68" s="168">
        <f>SUM(Q6:Q63)</f>
        <v>295.50720885714287</v>
      </c>
      <c r="R68" s="188">
        <f>SUM(P68:Q68)</f>
        <v>5401.8289302566045</v>
      </c>
      <c r="S68" s="168">
        <f>SUM(S6:S63)</f>
        <v>8027.0107994232703</v>
      </c>
      <c r="T68" s="69"/>
      <c r="U68" s="69"/>
      <c r="V68" s="4"/>
    </row>
    <row r="69" spans="2:22" s="2" customFormat="1" ht="27" customHeight="1" x14ac:dyDescent="0.25">
      <c r="B69" s="3"/>
      <c r="D69"/>
      <c r="E69"/>
      <c r="F69"/>
      <c r="G69"/>
      <c r="H69"/>
      <c r="I69"/>
      <c r="J69" s="91"/>
      <c r="K69" s="3"/>
      <c r="L69" s="3"/>
      <c r="M69" s="3"/>
      <c r="N69" s="3"/>
      <c r="O69" s="3"/>
      <c r="P69" s="3"/>
      <c r="Q69" s="11"/>
      <c r="R69" s="11"/>
      <c r="S69" s="11"/>
      <c r="T69" s="11"/>
      <c r="U69" s="11"/>
      <c r="V69" s="4"/>
    </row>
  </sheetData>
  <mergeCells count="14">
    <mergeCell ref="L4:M4"/>
    <mergeCell ref="N4:O4"/>
    <mergeCell ref="F4:J4"/>
    <mergeCell ref="B10:B40"/>
    <mergeCell ref="C58:C63"/>
    <mergeCell ref="C47:C57"/>
    <mergeCell ref="C6:C7"/>
    <mergeCell ref="C19:C40"/>
    <mergeCell ref="C14:C16"/>
    <mergeCell ref="C10:C13"/>
    <mergeCell ref="B41:B63"/>
    <mergeCell ref="B6:B9"/>
    <mergeCell ref="C41:C46"/>
    <mergeCell ref="C17:C18"/>
  </mergeCells>
  <phoneticPr fontId="10" type="noConversion"/>
  <hyperlinks>
    <hyperlink ref="V51" r:id="rId1" location=":~:text=The%20Infrastructure%20Investment%20and%20Jobs,ecosystem%20restoration%2C%20heat%20stress%2C%20and" xr:uid="{1D906A63-1AE2-4FC5-9B2B-EEA13C4F901A}"/>
    <hyperlink ref="V45" r:id="rId2" xr:uid="{771B130D-F574-40C5-AECD-4D828BF57024}"/>
    <hyperlink ref="V42" r:id="rId3" display="https://www.everycrsreport.com/files/20200416_R45484_ec8ad792a9ace7a6324bf395ce72ff4c70c0d8a5.pdf" xr:uid="{6AF7BBF2-B5E2-45E1-BACB-E4B95CD65D0B}"/>
    <hyperlink ref="V18" r:id="rId4" display="https://www.conservation.ca.gov/dlrp/grant-programs/SALCP/Documents/FY%202018-19%20Awarded%20Projects%20List.pdf; " xr:uid="{EFB0CB2A-3C25-4DF3-8A3E-C2ECB9A86E5B}"/>
    <hyperlink ref="V8" r:id="rId5" xr:uid="{84454177-6CA3-418E-9D8C-FDC512937513}"/>
    <hyperlink ref="V12" r:id="rId6" xr:uid="{E9C55F0D-5C9E-4C59-AFE7-B7CEE5C6263E}"/>
  </hyperlinks>
  <pageMargins left="0.7" right="0.7" top="0.75" bottom="0.75" header="0.3" footer="0.3"/>
  <pageSetup orientation="portrait" verticalDpi="12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429C-AEF0-48A0-89EE-D3D18248C343}">
  <sheetPr>
    <tabColor theme="9" tint="0.79998168889431442"/>
  </sheetPr>
  <dimension ref="A1:R69"/>
  <sheetViews>
    <sheetView zoomScale="90" zoomScaleNormal="90" workbookViewId="0">
      <selection activeCell="P44" sqref="P44"/>
    </sheetView>
  </sheetViews>
  <sheetFormatPr defaultRowHeight="15" x14ac:dyDescent="0.25"/>
  <cols>
    <col min="1" max="1" width="14.28515625" customWidth="1"/>
    <col min="4" max="4" width="9.28515625" bestFit="1" customWidth="1"/>
    <col min="6" max="6" width="9.28515625" bestFit="1" customWidth="1"/>
    <col min="8" max="8" width="9.28515625" bestFit="1" customWidth="1"/>
    <col min="10" max="10" width="9.28515625" bestFit="1" customWidth="1"/>
    <col min="12" max="12" width="10.140625" bestFit="1" customWidth="1"/>
    <col min="14" max="14" width="9.28515625" bestFit="1" customWidth="1"/>
    <col min="16" max="16" width="9.28515625" bestFit="1" customWidth="1"/>
    <col min="18" max="18" width="9.28515625" bestFit="1" customWidth="1"/>
  </cols>
  <sheetData>
    <row r="1" spans="1:18" s="139" customFormat="1" ht="21" x14ac:dyDescent="0.35">
      <c r="A1" s="139" t="s">
        <v>134</v>
      </c>
      <c r="K1" s="140"/>
    </row>
    <row r="2" spans="1:18" s="135" customFormat="1" x14ac:dyDescent="0.25">
      <c r="A2" s="137"/>
      <c r="B2" s="138"/>
      <c r="C2" s="218" t="s">
        <v>135</v>
      </c>
      <c r="D2" s="218"/>
      <c r="E2" s="218"/>
      <c r="F2" s="218"/>
      <c r="G2" s="218"/>
      <c r="H2" s="218"/>
      <c r="I2" s="218"/>
      <c r="J2" s="218"/>
      <c r="K2" s="217" t="s">
        <v>136</v>
      </c>
      <c r="L2" s="217"/>
      <c r="M2" s="217"/>
      <c r="N2" s="217"/>
      <c r="O2" s="216" t="s">
        <v>137</v>
      </c>
      <c r="P2" s="216"/>
      <c r="Q2" s="216"/>
      <c r="R2" s="216"/>
    </row>
    <row r="3" spans="1:18" s="135" customFormat="1" ht="33" customHeight="1" x14ac:dyDescent="0.25">
      <c r="A3" s="220" t="s">
        <v>138</v>
      </c>
      <c r="B3" s="220"/>
      <c r="C3" s="221" t="s">
        <v>106</v>
      </c>
      <c r="D3" s="221"/>
      <c r="E3" s="221" t="s">
        <v>100</v>
      </c>
      <c r="F3" s="221"/>
      <c r="G3" s="221" t="s">
        <v>139</v>
      </c>
      <c r="H3" s="221"/>
      <c r="I3" s="221" t="s">
        <v>39</v>
      </c>
      <c r="J3" s="221"/>
      <c r="K3" s="219" t="s">
        <v>140</v>
      </c>
      <c r="L3" s="219"/>
      <c r="M3" s="219" t="s">
        <v>141</v>
      </c>
      <c r="N3" s="219"/>
      <c r="O3" s="214" t="s">
        <v>142</v>
      </c>
      <c r="P3" s="214"/>
      <c r="Q3" s="215" t="s">
        <v>143</v>
      </c>
      <c r="R3" s="215"/>
    </row>
    <row r="4" spans="1:18" s="136" customFormat="1" ht="140.25" x14ac:dyDescent="0.2">
      <c r="A4" s="53" t="s">
        <v>144</v>
      </c>
      <c r="B4" s="54" t="s">
        <v>145</v>
      </c>
      <c r="C4" s="57" t="s">
        <v>146</v>
      </c>
      <c r="D4" s="54" t="s">
        <v>147</v>
      </c>
      <c r="E4" s="57" t="s">
        <v>146</v>
      </c>
      <c r="F4" s="54" t="s">
        <v>147</v>
      </c>
      <c r="G4" s="57" t="s">
        <v>146</v>
      </c>
      <c r="H4" s="54" t="s">
        <v>147</v>
      </c>
      <c r="I4" s="57" t="s">
        <v>146</v>
      </c>
      <c r="J4" s="54" t="s">
        <v>148</v>
      </c>
      <c r="K4" s="57" t="s">
        <v>149</v>
      </c>
      <c r="L4" s="54" t="s">
        <v>150</v>
      </c>
      <c r="M4" s="57" t="s">
        <v>146</v>
      </c>
      <c r="N4" s="54" t="s">
        <v>147</v>
      </c>
      <c r="O4" s="57" t="s">
        <v>146</v>
      </c>
      <c r="P4" s="54" t="s">
        <v>147</v>
      </c>
      <c r="Q4" s="57" t="s">
        <v>146</v>
      </c>
      <c r="R4" s="54" t="s">
        <v>147</v>
      </c>
    </row>
    <row r="5" spans="1:18" x14ac:dyDescent="0.25">
      <c r="A5" s="55">
        <v>1990</v>
      </c>
      <c r="B5" s="39">
        <v>2.27</v>
      </c>
      <c r="C5" s="115" t="s">
        <v>35</v>
      </c>
      <c r="D5" s="116" t="s">
        <v>35</v>
      </c>
      <c r="E5" s="117" t="s">
        <v>35</v>
      </c>
      <c r="F5" s="116" t="s">
        <v>35</v>
      </c>
      <c r="G5" s="117">
        <v>53.017648000000001</v>
      </c>
      <c r="H5" s="116">
        <v>120.35006096000001</v>
      </c>
      <c r="I5" s="117"/>
      <c r="J5" s="116"/>
      <c r="K5" s="117">
        <v>63.815999999999995</v>
      </c>
      <c r="L5" s="116">
        <v>144.86231999999998</v>
      </c>
      <c r="M5" s="117" t="s">
        <v>35</v>
      </c>
      <c r="N5" s="116" t="s">
        <v>35</v>
      </c>
      <c r="O5" s="117" t="s">
        <v>35</v>
      </c>
      <c r="P5" s="116" t="s">
        <v>35</v>
      </c>
      <c r="Q5" s="117" t="s">
        <v>35</v>
      </c>
      <c r="R5" s="116" t="s">
        <v>35</v>
      </c>
    </row>
    <row r="6" spans="1:18" x14ac:dyDescent="0.25">
      <c r="A6" s="55">
        <v>1991</v>
      </c>
      <c r="B6" s="39">
        <v>2.1800000000000002</v>
      </c>
      <c r="C6" s="115" t="s">
        <v>35</v>
      </c>
      <c r="D6" s="116" t="s">
        <v>35</v>
      </c>
      <c r="E6" s="117" t="s">
        <v>35</v>
      </c>
      <c r="F6" s="116" t="s">
        <v>35</v>
      </c>
      <c r="G6" s="117">
        <v>0</v>
      </c>
      <c r="H6" s="116">
        <v>0</v>
      </c>
      <c r="I6" s="117"/>
      <c r="J6" s="116"/>
      <c r="K6" s="117">
        <v>22.534199999999998</v>
      </c>
      <c r="L6" s="116">
        <v>49.124555999999998</v>
      </c>
      <c r="M6" s="117" t="s">
        <v>35</v>
      </c>
      <c r="N6" s="116" t="s">
        <v>35</v>
      </c>
      <c r="O6" s="117" t="s">
        <v>35</v>
      </c>
      <c r="P6" s="116" t="s">
        <v>35</v>
      </c>
      <c r="Q6" s="117" t="s">
        <v>35</v>
      </c>
      <c r="R6" s="116" t="s">
        <v>35</v>
      </c>
    </row>
    <row r="7" spans="1:18" x14ac:dyDescent="0.25">
      <c r="A7" s="55">
        <v>1992</v>
      </c>
      <c r="B7" s="39">
        <v>2.11</v>
      </c>
      <c r="C7" s="115" t="s">
        <v>35</v>
      </c>
      <c r="D7" s="116" t="s">
        <v>35</v>
      </c>
      <c r="E7" s="117" t="s">
        <v>35</v>
      </c>
      <c r="F7" s="116" t="s">
        <v>35</v>
      </c>
      <c r="G7" s="117">
        <v>3.068873</v>
      </c>
      <c r="H7" s="116">
        <v>6.4753220299999992</v>
      </c>
      <c r="I7" s="117"/>
      <c r="J7" s="116"/>
      <c r="K7" s="117">
        <v>18.10164</v>
      </c>
      <c r="L7" s="116">
        <v>38.194460399999997</v>
      </c>
      <c r="M7" s="117" t="s">
        <v>35</v>
      </c>
      <c r="N7" s="116" t="s">
        <v>35</v>
      </c>
      <c r="O7" s="117" t="s">
        <v>35</v>
      </c>
      <c r="P7" s="116" t="s">
        <v>35</v>
      </c>
      <c r="Q7" s="117" t="s">
        <v>35</v>
      </c>
      <c r="R7" s="116" t="s">
        <v>35</v>
      </c>
    </row>
    <row r="8" spans="1:18" x14ac:dyDescent="0.25">
      <c r="A8" s="55">
        <v>1993</v>
      </c>
      <c r="B8" s="39">
        <v>2.0499999999999998</v>
      </c>
      <c r="C8" s="115" t="s">
        <v>35</v>
      </c>
      <c r="D8" s="116" t="s">
        <v>35</v>
      </c>
      <c r="E8" s="117" t="s">
        <v>35</v>
      </c>
      <c r="F8" s="116" t="s">
        <v>35</v>
      </c>
      <c r="G8" s="117">
        <v>2.7953169999999998</v>
      </c>
      <c r="H8" s="116">
        <v>5.7303998499999995</v>
      </c>
      <c r="I8" s="117"/>
      <c r="J8" s="116"/>
      <c r="K8" s="117">
        <v>7.8</v>
      </c>
      <c r="L8" s="116">
        <v>15.989999999999998</v>
      </c>
      <c r="M8" s="117" t="s">
        <v>35</v>
      </c>
      <c r="N8" s="116" t="s">
        <v>35</v>
      </c>
      <c r="O8" s="117" t="s">
        <v>35</v>
      </c>
      <c r="P8" s="116" t="s">
        <v>35</v>
      </c>
      <c r="Q8" s="117" t="s">
        <v>35</v>
      </c>
      <c r="R8" s="116" t="s">
        <v>35</v>
      </c>
    </row>
    <row r="9" spans="1:18" x14ac:dyDescent="0.25">
      <c r="A9" s="55">
        <v>1994</v>
      </c>
      <c r="B9" s="39">
        <v>2</v>
      </c>
      <c r="C9" s="115" t="s">
        <v>35</v>
      </c>
      <c r="D9" s="116" t="s">
        <v>35</v>
      </c>
      <c r="E9" s="117" t="s">
        <v>35</v>
      </c>
      <c r="F9" s="116" t="s">
        <v>35</v>
      </c>
      <c r="G9" s="117">
        <v>137.33273399999999</v>
      </c>
      <c r="H9" s="116">
        <v>274.66546799999998</v>
      </c>
      <c r="I9" s="117"/>
      <c r="J9" s="116"/>
      <c r="K9" s="117">
        <v>0</v>
      </c>
      <c r="L9" s="116">
        <v>0</v>
      </c>
      <c r="M9" s="117" t="s">
        <v>35</v>
      </c>
      <c r="N9" s="116" t="s">
        <v>35</v>
      </c>
      <c r="O9" s="117" t="s">
        <v>35</v>
      </c>
      <c r="P9" s="116" t="s">
        <v>35</v>
      </c>
      <c r="Q9" s="117" t="s">
        <v>35</v>
      </c>
      <c r="R9" s="116" t="s">
        <v>35</v>
      </c>
    </row>
    <row r="10" spans="1:18" x14ac:dyDescent="0.25">
      <c r="A10" s="55">
        <v>1995</v>
      </c>
      <c r="B10" s="39">
        <v>1.94</v>
      </c>
      <c r="C10" s="115" t="s">
        <v>35</v>
      </c>
      <c r="D10" s="116" t="s">
        <v>35</v>
      </c>
      <c r="E10" s="117" t="s">
        <v>35</v>
      </c>
      <c r="F10" s="116" t="s">
        <v>35</v>
      </c>
      <c r="G10" s="117">
        <v>15.810803999999999</v>
      </c>
      <c r="H10" s="116">
        <v>30.672959759999998</v>
      </c>
      <c r="I10" s="117"/>
      <c r="J10" s="116"/>
      <c r="K10" s="117">
        <v>6</v>
      </c>
      <c r="L10" s="116">
        <v>11.64</v>
      </c>
      <c r="M10" s="117" t="s">
        <v>35</v>
      </c>
      <c r="N10" s="116" t="s">
        <v>35</v>
      </c>
      <c r="O10" s="117" t="s">
        <v>35</v>
      </c>
      <c r="P10" s="116" t="s">
        <v>35</v>
      </c>
      <c r="Q10" s="117" t="s">
        <v>35</v>
      </c>
      <c r="R10" s="116" t="s">
        <v>35</v>
      </c>
    </row>
    <row r="11" spans="1:18" x14ac:dyDescent="0.25">
      <c r="A11" s="55">
        <v>1996</v>
      </c>
      <c r="B11" s="39">
        <v>1.89</v>
      </c>
      <c r="C11" s="115" t="s">
        <v>35</v>
      </c>
      <c r="D11" s="116" t="s">
        <v>35</v>
      </c>
      <c r="E11" s="117" t="s">
        <v>35</v>
      </c>
      <c r="F11" s="116" t="s">
        <v>35</v>
      </c>
      <c r="G11" s="117">
        <v>0</v>
      </c>
      <c r="H11" s="116">
        <v>0</v>
      </c>
      <c r="I11" s="117"/>
      <c r="J11" s="116"/>
      <c r="K11" s="117">
        <v>22.2</v>
      </c>
      <c r="L11" s="116">
        <v>41.957999999999998</v>
      </c>
      <c r="M11" s="117" t="s">
        <v>35</v>
      </c>
      <c r="N11" s="116" t="s">
        <v>35</v>
      </c>
      <c r="O11" s="117" t="s">
        <v>35</v>
      </c>
      <c r="P11" s="116" t="s">
        <v>35</v>
      </c>
      <c r="Q11" s="117" t="s">
        <v>35</v>
      </c>
      <c r="R11" s="116" t="s">
        <v>35</v>
      </c>
    </row>
    <row r="12" spans="1:18" x14ac:dyDescent="0.25">
      <c r="A12" s="55">
        <v>1997</v>
      </c>
      <c r="B12" s="39">
        <v>1.85</v>
      </c>
      <c r="C12" s="115" t="s">
        <v>35</v>
      </c>
      <c r="D12" s="116" t="s">
        <v>35</v>
      </c>
      <c r="E12" s="117" t="s">
        <v>35</v>
      </c>
      <c r="F12" s="116" t="s">
        <v>35</v>
      </c>
      <c r="G12" s="117">
        <v>10.334125</v>
      </c>
      <c r="H12" s="116">
        <v>19.118131250000001</v>
      </c>
      <c r="I12" s="117"/>
      <c r="J12" s="116"/>
      <c r="K12" s="117">
        <v>10.648499999999999</v>
      </c>
      <c r="L12" s="116">
        <v>19.699724999999997</v>
      </c>
      <c r="M12" s="117" t="s">
        <v>35</v>
      </c>
      <c r="N12" s="116" t="s">
        <v>35</v>
      </c>
      <c r="O12" s="117" t="s">
        <v>35</v>
      </c>
      <c r="P12" s="116" t="s">
        <v>35</v>
      </c>
      <c r="Q12" s="117" t="s">
        <v>35</v>
      </c>
      <c r="R12" s="116" t="s">
        <v>35</v>
      </c>
    </row>
    <row r="13" spans="1:18" x14ac:dyDescent="0.25">
      <c r="A13" s="55">
        <v>1998</v>
      </c>
      <c r="B13" s="39">
        <v>1.82</v>
      </c>
      <c r="C13" s="115" t="s">
        <v>35</v>
      </c>
      <c r="D13" s="116" t="s">
        <v>35</v>
      </c>
      <c r="E13" s="117" t="s">
        <v>35</v>
      </c>
      <c r="F13" s="116" t="s">
        <v>35</v>
      </c>
      <c r="G13" s="117">
        <v>16.806536000000001</v>
      </c>
      <c r="H13" s="116">
        <v>30.587895520000004</v>
      </c>
      <c r="I13" s="117"/>
      <c r="J13" s="116"/>
      <c r="K13" s="117">
        <v>7.1999999999999993</v>
      </c>
      <c r="L13" s="116">
        <v>13.103999999999999</v>
      </c>
      <c r="M13" s="117" t="s">
        <v>35</v>
      </c>
      <c r="N13" s="116" t="s">
        <v>35</v>
      </c>
      <c r="O13" s="117" t="s">
        <v>35</v>
      </c>
      <c r="P13" s="116" t="s">
        <v>35</v>
      </c>
      <c r="Q13" s="117" t="s">
        <v>35</v>
      </c>
      <c r="R13" s="116" t="s">
        <v>35</v>
      </c>
    </row>
    <row r="14" spans="1:18" x14ac:dyDescent="0.25">
      <c r="A14" s="55">
        <v>1999</v>
      </c>
      <c r="B14" s="39">
        <v>1.78</v>
      </c>
      <c r="C14" s="115" t="s">
        <v>35</v>
      </c>
      <c r="D14" s="116" t="s">
        <v>35</v>
      </c>
      <c r="E14" s="117" t="s">
        <v>35</v>
      </c>
      <c r="F14" s="116" t="s">
        <v>35</v>
      </c>
      <c r="G14" s="117">
        <v>0</v>
      </c>
      <c r="H14" s="116">
        <v>0</v>
      </c>
      <c r="I14" s="117"/>
      <c r="J14" s="116"/>
      <c r="K14" s="117">
        <v>72.48</v>
      </c>
      <c r="L14" s="116">
        <v>129.01439999999999</v>
      </c>
      <c r="M14" s="117" t="s">
        <v>35</v>
      </c>
      <c r="N14" s="116" t="s">
        <v>35</v>
      </c>
      <c r="O14" s="117" t="s">
        <v>35</v>
      </c>
      <c r="P14" s="116" t="s">
        <v>35</v>
      </c>
      <c r="Q14" s="117" t="s">
        <v>35</v>
      </c>
      <c r="R14" s="116" t="s">
        <v>35</v>
      </c>
    </row>
    <row r="15" spans="1:18" x14ac:dyDescent="0.25">
      <c r="A15" s="55">
        <v>2000</v>
      </c>
      <c r="B15" s="39">
        <v>1.71</v>
      </c>
      <c r="C15" s="115" t="s">
        <v>35</v>
      </c>
      <c r="D15" s="116" t="s">
        <v>35</v>
      </c>
      <c r="E15" s="117" t="s">
        <v>35</v>
      </c>
      <c r="F15" s="116" t="s">
        <v>35</v>
      </c>
      <c r="G15" s="117">
        <v>1.46709</v>
      </c>
      <c r="H15" s="116">
        <v>2.5087239000000001</v>
      </c>
      <c r="I15" s="117"/>
      <c r="J15" s="116"/>
      <c r="K15" s="117">
        <v>74.906999999999996</v>
      </c>
      <c r="L15" s="116">
        <v>128.09097</v>
      </c>
      <c r="M15" s="117" t="s">
        <v>35</v>
      </c>
      <c r="N15" s="116" t="s">
        <v>35</v>
      </c>
      <c r="O15" s="117" t="s">
        <v>35</v>
      </c>
      <c r="P15" s="116" t="s">
        <v>35</v>
      </c>
      <c r="Q15" s="117" t="s">
        <v>35</v>
      </c>
      <c r="R15" s="116" t="s">
        <v>35</v>
      </c>
    </row>
    <row r="16" spans="1:18" x14ac:dyDescent="0.25">
      <c r="A16" s="55">
        <v>2001</v>
      </c>
      <c r="B16" s="39">
        <v>1.67</v>
      </c>
      <c r="C16" s="115" t="s">
        <v>35</v>
      </c>
      <c r="D16" s="116" t="s">
        <v>35</v>
      </c>
      <c r="E16" s="117" t="s">
        <v>35</v>
      </c>
      <c r="F16" s="116" t="s">
        <v>35</v>
      </c>
      <c r="G16" s="117">
        <v>0</v>
      </c>
      <c r="H16" s="116">
        <v>0</v>
      </c>
      <c r="I16" s="117"/>
      <c r="J16" s="116"/>
      <c r="K16" s="117">
        <v>0</v>
      </c>
      <c r="L16" s="116">
        <v>0</v>
      </c>
      <c r="M16" s="117" t="s">
        <v>35</v>
      </c>
      <c r="N16" s="116" t="s">
        <v>35</v>
      </c>
      <c r="O16" s="117" t="s">
        <v>35</v>
      </c>
      <c r="P16" s="116" t="s">
        <v>35</v>
      </c>
      <c r="Q16" s="117" t="s">
        <v>35</v>
      </c>
      <c r="R16" s="116" t="s">
        <v>35</v>
      </c>
    </row>
    <row r="17" spans="1:18" x14ac:dyDescent="0.25">
      <c r="A17" s="55">
        <v>2002</v>
      </c>
      <c r="B17" s="39">
        <v>1.65</v>
      </c>
      <c r="C17" s="115" t="s">
        <v>35</v>
      </c>
      <c r="D17" s="116" t="s">
        <v>35</v>
      </c>
      <c r="E17" s="117" t="s">
        <v>35</v>
      </c>
      <c r="F17" s="116" t="s">
        <v>35</v>
      </c>
      <c r="G17" s="117">
        <v>0.05</v>
      </c>
      <c r="H17" s="116">
        <v>8.2500000000000004E-2</v>
      </c>
      <c r="I17" s="117"/>
      <c r="J17" s="116"/>
      <c r="K17" s="117">
        <v>259.26</v>
      </c>
      <c r="L17" s="116">
        <v>427.77899999999994</v>
      </c>
      <c r="M17" s="117" t="s">
        <v>35</v>
      </c>
      <c r="N17" s="116" t="s">
        <v>35</v>
      </c>
      <c r="O17" s="117" t="s">
        <v>35</v>
      </c>
      <c r="P17" s="116" t="s">
        <v>35</v>
      </c>
      <c r="Q17" s="117" t="s">
        <v>35</v>
      </c>
      <c r="R17" s="116" t="s">
        <v>35</v>
      </c>
    </row>
    <row r="18" spans="1:18" x14ac:dyDescent="0.25">
      <c r="A18" s="55">
        <v>2003</v>
      </c>
      <c r="B18" s="39">
        <v>1.61</v>
      </c>
      <c r="C18" s="115" t="s">
        <v>35</v>
      </c>
      <c r="D18" s="116" t="s">
        <v>35</v>
      </c>
      <c r="E18" s="117" t="s">
        <v>35</v>
      </c>
      <c r="F18" s="116" t="s">
        <v>35</v>
      </c>
      <c r="G18" s="117">
        <v>4.11471286</v>
      </c>
      <c r="H18" s="116">
        <v>6.6246877046000003</v>
      </c>
      <c r="I18" s="117"/>
      <c r="J18" s="116"/>
      <c r="K18" s="117">
        <v>137.52569999999997</v>
      </c>
      <c r="L18" s="116">
        <v>221.41637699999995</v>
      </c>
      <c r="M18" s="117" t="s">
        <v>35</v>
      </c>
      <c r="N18" s="116" t="s">
        <v>35</v>
      </c>
      <c r="O18" s="117" t="s">
        <v>35</v>
      </c>
      <c r="P18" s="116" t="s">
        <v>35</v>
      </c>
      <c r="Q18" s="117" t="s">
        <v>35</v>
      </c>
      <c r="R18" s="116" t="s">
        <v>35</v>
      </c>
    </row>
    <row r="19" spans="1:18" x14ac:dyDescent="0.25">
      <c r="A19" s="55">
        <v>2004</v>
      </c>
      <c r="B19" s="39">
        <v>1.56</v>
      </c>
      <c r="C19" s="115" t="s">
        <v>35</v>
      </c>
      <c r="D19" s="116" t="s">
        <v>35</v>
      </c>
      <c r="E19" s="117" t="s">
        <v>35</v>
      </c>
      <c r="F19" s="116" t="s">
        <v>35</v>
      </c>
      <c r="G19" s="117">
        <v>0.3357425</v>
      </c>
      <c r="H19" s="116">
        <v>0.52375830000000001</v>
      </c>
      <c r="I19" s="117"/>
      <c r="J19" s="116"/>
      <c r="K19" s="117">
        <v>300.06</v>
      </c>
      <c r="L19" s="116">
        <v>468.09360000000004</v>
      </c>
      <c r="M19" s="117" t="s">
        <v>35</v>
      </c>
      <c r="N19" s="116" t="s">
        <v>35</v>
      </c>
      <c r="O19" s="117" t="s">
        <v>35</v>
      </c>
      <c r="P19" s="116" t="s">
        <v>35</v>
      </c>
      <c r="Q19" s="117" t="s">
        <v>35</v>
      </c>
      <c r="R19" s="116" t="s">
        <v>35</v>
      </c>
    </row>
    <row r="20" spans="1:18" x14ac:dyDescent="0.25">
      <c r="A20" s="55">
        <v>2005</v>
      </c>
      <c r="B20" s="39">
        <v>1.52</v>
      </c>
      <c r="C20" s="115" t="s">
        <v>35</v>
      </c>
      <c r="D20" s="116" t="s">
        <v>35</v>
      </c>
      <c r="E20" s="117" t="s">
        <v>35</v>
      </c>
      <c r="F20" s="116" t="s">
        <v>35</v>
      </c>
      <c r="G20" s="117">
        <v>25.981184729999999</v>
      </c>
      <c r="H20" s="116">
        <v>39.4914007896</v>
      </c>
      <c r="I20" s="117"/>
      <c r="J20" s="116"/>
      <c r="K20" s="117">
        <v>412.2</v>
      </c>
      <c r="L20" s="116">
        <v>626.54399999999998</v>
      </c>
      <c r="M20" s="117" t="s">
        <v>35</v>
      </c>
      <c r="N20" s="116" t="s">
        <v>35</v>
      </c>
      <c r="O20" s="117" t="s">
        <v>35</v>
      </c>
      <c r="P20" s="116" t="s">
        <v>35</v>
      </c>
      <c r="Q20" s="117" t="s">
        <v>35</v>
      </c>
      <c r="R20" s="116" t="s">
        <v>35</v>
      </c>
    </row>
    <row r="21" spans="1:18" x14ac:dyDescent="0.25">
      <c r="A21" s="55">
        <v>2006</v>
      </c>
      <c r="B21" s="39">
        <v>1.46</v>
      </c>
      <c r="C21" s="115" t="s">
        <v>35</v>
      </c>
      <c r="D21" s="116" t="s">
        <v>35</v>
      </c>
      <c r="E21" s="117" t="s">
        <v>35</v>
      </c>
      <c r="F21" s="116" t="s">
        <v>35</v>
      </c>
      <c r="G21" s="117">
        <v>9.2095400000000005</v>
      </c>
      <c r="H21" s="116">
        <v>13.4459284</v>
      </c>
      <c r="I21" s="117"/>
      <c r="J21" s="116"/>
      <c r="K21" s="117">
        <v>13.32</v>
      </c>
      <c r="L21" s="116">
        <v>19.447199999999999</v>
      </c>
      <c r="M21" s="117" t="s">
        <v>35</v>
      </c>
      <c r="N21" s="116" t="s">
        <v>35</v>
      </c>
      <c r="O21" s="117" t="s">
        <v>35</v>
      </c>
      <c r="P21" s="116" t="s">
        <v>35</v>
      </c>
      <c r="Q21" s="117" t="s">
        <v>35</v>
      </c>
      <c r="R21" s="116" t="s">
        <v>35</v>
      </c>
    </row>
    <row r="22" spans="1:18" x14ac:dyDescent="0.25">
      <c r="A22" s="55">
        <v>2007</v>
      </c>
      <c r="B22" s="39">
        <v>1.42</v>
      </c>
      <c r="C22" s="115" t="s">
        <v>35</v>
      </c>
      <c r="D22" s="116" t="s">
        <v>35</v>
      </c>
      <c r="E22" s="117" t="s">
        <v>35</v>
      </c>
      <c r="F22" s="116" t="s">
        <v>35</v>
      </c>
      <c r="G22" s="117">
        <v>4.4867266700000004</v>
      </c>
      <c r="H22" s="116">
        <v>6.3711518714000004</v>
      </c>
      <c r="I22" s="117"/>
      <c r="J22" s="116"/>
      <c r="K22" s="117">
        <v>277.2</v>
      </c>
      <c r="L22" s="116">
        <v>393.62399999999997</v>
      </c>
      <c r="M22" s="117" t="s">
        <v>35</v>
      </c>
      <c r="N22" s="116" t="s">
        <v>35</v>
      </c>
      <c r="O22" s="117" t="s">
        <v>35</v>
      </c>
      <c r="P22" s="116" t="s">
        <v>35</v>
      </c>
      <c r="Q22" s="117" t="s">
        <v>35</v>
      </c>
      <c r="R22" s="116" t="s">
        <v>35</v>
      </c>
    </row>
    <row r="23" spans="1:18" x14ac:dyDescent="0.25">
      <c r="A23" s="55">
        <v>2008</v>
      </c>
      <c r="B23" s="39">
        <v>1.35</v>
      </c>
      <c r="C23" s="115" t="s">
        <v>35</v>
      </c>
      <c r="D23" s="116" t="s">
        <v>35</v>
      </c>
      <c r="E23" s="117" t="s">
        <v>35</v>
      </c>
      <c r="F23" s="116" t="s">
        <v>35</v>
      </c>
      <c r="G23" s="117">
        <v>31.177465720000004</v>
      </c>
      <c r="H23" s="116">
        <v>42.089578722000006</v>
      </c>
      <c r="I23" s="117"/>
      <c r="J23" s="116"/>
      <c r="K23" s="117">
        <v>115.19999999999999</v>
      </c>
      <c r="L23" s="116">
        <v>155.51999999999998</v>
      </c>
      <c r="M23" s="117" t="s">
        <v>35</v>
      </c>
      <c r="N23" s="116" t="s">
        <v>35</v>
      </c>
      <c r="O23" s="117" t="s">
        <v>35</v>
      </c>
      <c r="P23" s="116" t="s">
        <v>35</v>
      </c>
      <c r="Q23" s="117" t="s">
        <v>35</v>
      </c>
      <c r="R23" s="116" t="s">
        <v>35</v>
      </c>
    </row>
    <row r="24" spans="1:18" x14ac:dyDescent="0.25">
      <c r="A24" s="55">
        <v>2009</v>
      </c>
      <c r="B24" s="39">
        <v>1.38</v>
      </c>
      <c r="C24" s="115" t="s">
        <v>35</v>
      </c>
      <c r="D24" s="116" t="s">
        <v>35</v>
      </c>
      <c r="E24" s="117" t="s">
        <v>35</v>
      </c>
      <c r="F24" s="116" t="s">
        <v>35</v>
      </c>
      <c r="G24" s="117">
        <v>8.0816572900000008</v>
      </c>
      <c r="H24" s="116">
        <v>11.1526870602</v>
      </c>
      <c r="I24" s="117"/>
      <c r="J24" s="116"/>
      <c r="K24" s="117">
        <v>126.82469999999999</v>
      </c>
      <c r="L24" s="116">
        <v>175.01808599999998</v>
      </c>
      <c r="M24" s="117" t="s">
        <v>35</v>
      </c>
      <c r="N24" s="116" t="s">
        <v>35</v>
      </c>
      <c r="O24" s="117" t="s">
        <v>35</v>
      </c>
      <c r="P24" s="116" t="s">
        <v>35</v>
      </c>
      <c r="Q24" s="117" t="s">
        <v>35</v>
      </c>
      <c r="R24" s="116" t="s">
        <v>35</v>
      </c>
    </row>
    <row r="25" spans="1:18" x14ac:dyDescent="0.25">
      <c r="A25" s="55">
        <v>2010</v>
      </c>
      <c r="B25" s="39">
        <v>1.36</v>
      </c>
      <c r="C25" s="115" t="s">
        <v>35</v>
      </c>
      <c r="D25" s="116" t="s">
        <v>35</v>
      </c>
      <c r="E25" s="117" t="s">
        <v>35</v>
      </c>
      <c r="F25" s="116" t="s">
        <v>35</v>
      </c>
      <c r="G25" s="117">
        <v>11.16029575</v>
      </c>
      <c r="H25" s="116">
        <v>15.17800222</v>
      </c>
      <c r="I25" s="117"/>
      <c r="J25" s="116"/>
      <c r="K25" s="117">
        <v>166.82550000000001</v>
      </c>
      <c r="L25" s="116">
        <v>226.88268000000002</v>
      </c>
      <c r="M25" s="117" t="s">
        <v>35</v>
      </c>
      <c r="N25" s="116" t="s">
        <v>35</v>
      </c>
      <c r="O25" s="117" t="s">
        <v>35</v>
      </c>
      <c r="P25" s="116" t="s">
        <v>35</v>
      </c>
      <c r="Q25" s="117" t="s">
        <v>35</v>
      </c>
      <c r="R25" s="116" t="s">
        <v>35</v>
      </c>
    </row>
    <row r="26" spans="1:18" x14ac:dyDescent="0.25">
      <c r="A26" s="55">
        <v>2011</v>
      </c>
      <c r="B26" s="39">
        <v>1.31</v>
      </c>
      <c r="C26" s="115">
        <v>40.663035000000001</v>
      </c>
      <c r="D26" s="116">
        <v>53.268575850000005</v>
      </c>
      <c r="E26" s="117" t="s">
        <v>35</v>
      </c>
      <c r="F26" s="116" t="s">
        <v>35</v>
      </c>
      <c r="G26" s="117">
        <v>4.7751827499999999</v>
      </c>
      <c r="H26" s="116">
        <v>6.2554894025000003</v>
      </c>
      <c r="I26" s="117"/>
      <c r="J26" s="116"/>
      <c r="K26" s="117">
        <v>96</v>
      </c>
      <c r="L26" s="116">
        <v>125.76</v>
      </c>
      <c r="M26" s="117" t="s">
        <v>35</v>
      </c>
      <c r="N26" s="116" t="s">
        <v>35</v>
      </c>
      <c r="O26" s="117" t="s">
        <v>35</v>
      </c>
      <c r="P26" s="116" t="s">
        <v>35</v>
      </c>
      <c r="Q26" s="117" t="s">
        <v>35</v>
      </c>
      <c r="R26" s="116" t="s">
        <v>35</v>
      </c>
    </row>
    <row r="27" spans="1:18" x14ac:dyDescent="0.25">
      <c r="A27" s="55">
        <v>2012</v>
      </c>
      <c r="B27" s="39">
        <v>1.29</v>
      </c>
      <c r="C27" s="115">
        <v>19.845230000000001</v>
      </c>
      <c r="D27" s="116">
        <v>25.600346700000003</v>
      </c>
      <c r="E27" s="117" t="s">
        <v>35</v>
      </c>
      <c r="F27" s="116" t="s">
        <v>35</v>
      </c>
      <c r="G27" s="117">
        <v>1.95276074</v>
      </c>
      <c r="H27" s="116">
        <v>2.5190613546000002</v>
      </c>
      <c r="I27" s="117"/>
      <c r="J27" s="116"/>
      <c r="K27" s="117">
        <v>612.09425999999996</v>
      </c>
      <c r="L27" s="116">
        <v>789.60159539999995</v>
      </c>
      <c r="M27" s="117" t="s">
        <v>35</v>
      </c>
      <c r="N27" s="116" t="s">
        <v>35</v>
      </c>
      <c r="O27" s="117" t="s">
        <v>35</v>
      </c>
      <c r="P27" s="116" t="s">
        <v>35</v>
      </c>
      <c r="Q27" s="117" t="s">
        <v>35</v>
      </c>
      <c r="R27" s="116" t="s">
        <v>35</v>
      </c>
    </row>
    <row r="28" spans="1:18" x14ac:dyDescent="0.25">
      <c r="A28" s="55">
        <v>2013</v>
      </c>
      <c r="B28" s="39">
        <v>1.27</v>
      </c>
      <c r="C28" s="115">
        <v>31.3104786</v>
      </c>
      <c r="D28" s="116">
        <v>39.764307821999999</v>
      </c>
      <c r="E28" s="117" t="s">
        <v>35</v>
      </c>
      <c r="F28" s="116" t="s">
        <v>35</v>
      </c>
      <c r="G28" s="117">
        <v>1.4940951599999999</v>
      </c>
      <c r="H28" s="116">
        <v>1.8975008531999999</v>
      </c>
      <c r="I28" s="117"/>
      <c r="J28" s="116"/>
      <c r="K28" s="117">
        <v>133.518</v>
      </c>
      <c r="L28" s="116">
        <v>169.56786</v>
      </c>
      <c r="M28" s="117" t="s">
        <v>35</v>
      </c>
      <c r="N28" s="116" t="s">
        <v>35</v>
      </c>
      <c r="O28" s="117">
        <v>0</v>
      </c>
      <c r="P28" s="116">
        <v>0</v>
      </c>
      <c r="Q28" s="117" t="s">
        <v>35</v>
      </c>
      <c r="R28" s="116" t="s">
        <v>35</v>
      </c>
    </row>
    <row r="29" spans="1:18" x14ac:dyDescent="0.25">
      <c r="A29" s="55">
        <v>2014</v>
      </c>
      <c r="B29" s="39">
        <v>1.24</v>
      </c>
      <c r="C29" s="115">
        <v>29.17</v>
      </c>
      <c r="D29" s="116">
        <v>36.1708</v>
      </c>
      <c r="E29" s="117" t="s">
        <v>35</v>
      </c>
      <c r="F29" s="116" t="s">
        <v>35</v>
      </c>
      <c r="G29" s="117">
        <v>6.9364006499999995</v>
      </c>
      <c r="H29" s="116">
        <v>8.6011368059999995</v>
      </c>
      <c r="I29" s="117"/>
      <c r="J29" s="116"/>
      <c r="K29" s="117">
        <v>258</v>
      </c>
      <c r="L29" s="116">
        <v>319.92</v>
      </c>
      <c r="M29" s="117" t="s">
        <v>35</v>
      </c>
      <c r="N29" s="116" t="s">
        <v>35</v>
      </c>
      <c r="O29" s="117">
        <v>0</v>
      </c>
      <c r="P29" s="116">
        <v>0</v>
      </c>
      <c r="Q29" s="117">
        <v>31.4465</v>
      </c>
      <c r="R29" s="116">
        <v>38.993659999999998</v>
      </c>
    </row>
    <row r="30" spans="1:18" x14ac:dyDescent="0.25">
      <c r="A30" s="55">
        <v>2015</v>
      </c>
      <c r="B30" s="39">
        <v>1.24</v>
      </c>
      <c r="C30" s="115">
        <v>13.9497216</v>
      </c>
      <c r="D30" s="116">
        <v>17.297654783999999</v>
      </c>
      <c r="E30" s="117" t="s">
        <v>35</v>
      </c>
      <c r="F30" s="116" t="s">
        <v>35</v>
      </c>
      <c r="G30" s="117">
        <v>25.952921120000003</v>
      </c>
      <c r="H30" s="116">
        <v>32.181622188800006</v>
      </c>
      <c r="I30" s="117"/>
      <c r="J30" s="116"/>
      <c r="K30" s="117">
        <v>4112.5428000000002</v>
      </c>
      <c r="L30" s="116">
        <v>5099.5530720000006</v>
      </c>
      <c r="M30" s="117" t="s">
        <v>35</v>
      </c>
      <c r="N30" s="116" t="s">
        <v>35</v>
      </c>
      <c r="O30" s="117">
        <v>0</v>
      </c>
      <c r="P30" s="116">
        <v>0</v>
      </c>
      <c r="Q30" s="117">
        <v>31.4465</v>
      </c>
      <c r="R30" s="116">
        <v>38.993659999999998</v>
      </c>
    </row>
    <row r="31" spans="1:18" x14ac:dyDescent="0.25">
      <c r="A31" s="55">
        <v>2016</v>
      </c>
      <c r="B31" s="39">
        <v>1.23</v>
      </c>
      <c r="C31" s="115">
        <v>36.770600000000002</v>
      </c>
      <c r="D31" s="116">
        <v>45.227837999999998</v>
      </c>
      <c r="E31" s="117" t="s">
        <v>35</v>
      </c>
      <c r="F31" s="116" t="s">
        <v>35</v>
      </c>
      <c r="G31" s="117">
        <v>0.25344</v>
      </c>
      <c r="H31" s="116">
        <v>0.31173119999999999</v>
      </c>
      <c r="I31" s="117"/>
      <c r="J31" s="116"/>
      <c r="K31" s="117">
        <v>466.2</v>
      </c>
      <c r="L31" s="116">
        <v>573.42599999999993</v>
      </c>
      <c r="M31" s="117" t="s">
        <v>35</v>
      </c>
      <c r="N31" s="116" t="s">
        <v>35</v>
      </c>
      <c r="O31" s="117">
        <v>3.26</v>
      </c>
      <c r="P31" s="116">
        <v>4.0097999999999994</v>
      </c>
      <c r="Q31" s="117">
        <v>31.4465</v>
      </c>
      <c r="R31" s="116">
        <v>38.679195</v>
      </c>
    </row>
    <row r="32" spans="1:18" x14ac:dyDescent="0.25">
      <c r="A32" s="55">
        <v>2017</v>
      </c>
      <c r="B32" s="39">
        <v>1.21</v>
      </c>
      <c r="C32" s="115">
        <v>10.336399999999999</v>
      </c>
      <c r="D32" s="116">
        <v>12.507043999999999</v>
      </c>
      <c r="E32" s="117" t="s">
        <v>35</v>
      </c>
      <c r="F32" s="116" t="s">
        <v>35</v>
      </c>
      <c r="G32" s="117">
        <v>32.569322290000002</v>
      </c>
      <c r="H32" s="116">
        <v>39.408879970900003</v>
      </c>
      <c r="I32" s="117"/>
      <c r="J32" s="116"/>
      <c r="K32" s="117">
        <v>336.59999999999997</v>
      </c>
      <c r="L32" s="116">
        <v>407.28599999999994</v>
      </c>
      <c r="M32" s="117" t="s">
        <v>35</v>
      </c>
      <c r="N32" s="116" t="s">
        <v>35</v>
      </c>
      <c r="O32" s="117">
        <v>0</v>
      </c>
      <c r="P32" s="116">
        <v>0</v>
      </c>
      <c r="Q32" s="117">
        <v>31.4465</v>
      </c>
      <c r="R32" s="116">
        <v>38.050264999999996</v>
      </c>
    </row>
    <row r="33" spans="1:18" x14ac:dyDescent="0.25">
      <c r="A33" s="55">
        <v>2018</v>
      </c>
      <c r="B33" s="39">
        <v>1.18</v>
      </c>
      <c r="C33" s="115">
        <v>21.963100000000001</v>
      </c>
      <c r="D33" s="116">
        <v>25.916457999999999</v>
      </c>
      <c r="E33" s="117" t="s">
        <v>35</v>
      </c>
      <c r="F33" s="116" t="s">
        <v>35</v>
      </c>
      <c r="G33" s="117">
        <v>66.742110660000009</v>
      </c>
      <c r="H33" s="116">
        <v>78.755690578799999</v>
      </c>
      <c r="I33" s="117">
        <v>25.313503999999998</v>
      </c>
      <c r="J33" s="116">
        <v>29.869934719999996</v>
      </c>
      <c r="K33" s="117">
        <v>789.42</v>
      </c>
      <c r="L33" s="116">
        <v>931.51559999999995</v>
      </c>
      <c r="M33" s="117">
        <v>28.9</v>
      </c>
      <c r="N33" s="116">
        <v>34.101999999999997</v>
      </c>
      <c r="O33" s="117">
        <v>0.3</v>
      </c>
      <c r="P33" s="116">
        <v>0.35399999999999998</v>
      </c>
      <c r="Q33" s="117">
        <v>56.896000000000001</v>
      </c>
      <c r="R33" s="116">
        <v>67.137280000000004</v>
      </c>
    </row>
    <row r="34" spans="1:18" x14ac:dyDescent="0.25">
      <c r="A34" s="55">
        <v>2019</v>
      </c>
      <c r="B34" s="39">
        <v>1.1499999999999999</v>
      </c>
      <c r="C34" s="115">
        <v>10.354799999999999</v>
      </c>
      <c r="D34" s="116">
        <v>11.908019999999999</v>
      </c>
      <c r="E34" s="117" t="s">
        <v>35</v>
      </c>
      <c r="F34" s="116" t="s">
        <v>35</v>
      </c>
      <c r="G34" s="117">
        <v>13.05339431</v>
      </c>
      <c r="H34" s="116">
        <v>15.011403456499998</v>
      </c>
      <c r="I34" s="117">
        <v>25.499815000000002</v>
      </c>
      <c r="J34" s="116">
        <v>29.32478725</v>
      </c>
      <c r="K34" s="117">
        <v>84</v>
      </c>
      <c r="L34" s="116">
        <v>96.6</v>
      </c>
      <c r="M34" s="117">
        <v>29.3</v>
      </c>
      <c r="N34" s="116">
        <v>33.695</v>
      </c>
      <c r="O34" s="117">
        <v>2.23</v>
      </c>
      <c r="P34" s="116">
        <v>2.5644999999999998</v>
      </c>
      <c r="Q34" s="117">
        <v>50.23</v>
      </c>
      <c r="R34" s="116">
        <v>57.764499999999991</v>
      </c>
    </row>
    <row r="35" spans="1:18" x14ac:dyDescent="0.25">
      <c r="A35" s="55">
        <v>2020</v>
      </c>
      <c r="B35" s="39">
        <v>1.1399999999999999</v>
      </c>
      <c r="C35" s="115">
        <v>48.730400000000003</v>
      </c>
      <c r="D35" s="116">
        <v>55.552655999999999</v>
      </c>
      <c r="E35" s="117" t="s">
        <v>35</v>
      </c>
      <c r="F35" s="116" t="s">
        <v>35</v>
      </c>
      <c r="G35" s="117">
        <v>1.6347265800000002</v>
      </c>
      <c r="H35" s="116">
        <v>1.8635883012000001</v>
      </c>
      <c r="I35" s="117">
        <v>25.601057000000001</v>
      </c>
      <c r="J35" s="116">
        <v>29.185204979999998</v>
      </c>
      <c r="K35" s="117">
        <v>402</v>
      </c>
      <c r="L35" s="116">
        <v>458.28</v>
      </c>
      <c r="M35" s="117">
        <v>85.5</v>
      </c>
      <c r="N35" s="116">
        <v>97.469999999999985</v>
      </c>
      <c r="O35" s="117">
        <v>0.72</v>
      </c>
      <c r="P35" s="116">
        <v>0.82079999999999986</v>
      </c>
      <c r="Q35" s="117">
        <v>65.988</v>
      </c>
      <c r="R35" s="116">
        <v>75.226319999999987</v>
      </c>
    </row>
    <row r="36" spans="1:18" x14ac:dyDescent="0.25">
      <c r="A36" s="55">
        <v>2021</v>
      </c>
      <c r="B36" s="39">
        <v>1.0900000000000001</v>
      </c>
      <c r="C36" s="115">
        <v>57.363399999999999</v>
      </c>
      <c r="D36" s="116">
        <v>62.526106000000006</v>
      </c>
      <c r="E36" s="117" t="s">
        <v>35</v>
      </c>
      <c r="F36" s="116" t="s">
        <v>35</v>
      </c>
      <c r="G36" s="117">
        <v>0.32908725</v>
      </c>
      <c r="H36" s="116">
        <v>0.35870510250000004</v>
      </c>
      <c r="I36" s="117">
        <v>25.703961</v>
      </c>
      <c r="J36" s="116">
        <v>28.01731749</v>
      </c>
      <c r="K36" s="117">
        <v>159</v>
      </c>
      <c r="L36" s="116">
        <v>173.31</v>
      </c>
      <c r="M36" s="117">
        <v>39.5</v>
      </c>
      <c r="N36" s="116">
        <v>43.055</v>
      </c>
      <c r="O36" s="117">
        <v>0</v>
      </c>
      <c r="P36" s="116">
        <v>0</v>
      </c>
      <c r="Q36" s="117"/>
      <c r="R36" s="116"/>
    </row>
    <row r="37" spans="1:18" s="131" customFormat="1" x14ac:dyDescent="0.25">
      <c r="A37" s="164">
        <v>2022</v>
      </c>
      <c r="B37" s="127"/>
      <c r="C37" s="128"/>
      <c r="D37" s="129"/>
      <c r="E37" s="130"/>
      <c r="F37" s="129"/>
      <c r="G37" s="130"/>
      <c r="H37" s="129"/>
      <c r="I37" s="130"/>
      <c r="J37" s="129"/>
      <c r="K37" s="130"/>
      <c r="L37" s="129"/>
      <c r="M37" s="130"/>
      <c r="N37" s="129"/>
      <c r="O37" s="130"/>
      <c r="P37" s="129"/>
      <c r="Q37" s="130"/>
      <c r="R37" s="129"/>
    </row>
    <row r="38" spans="1:18" x14ac:dyDescent="0.25">
      <c r="A38" s="114" t="s">
        <v>151</v>
      </c>
      <c r="B38" s="118"/>
      <c r="C38" s="119" t="s">
        <v>35</v>
      </c>
      <c r="D38" s="120">
        <v>35.067255196000005</v>
      </c>
      <c r="E38" s="121" t="s">
        <v>35</v>
      </c>
      <c r="F38" s="120">
        <v>2.4435016923076924</v>
      </c>
      <c r="G38" s="121" t="s">
        <v>35</v>
      </c>
      <c r="H38" s="120">
        <v>25.382295798525004</v>
      </c>
      <c r="I38" s="121">
        <v>25.529584249999999</v>
      </c>
      <c r="J38" s="120" t="s">
        <v>35</v>
      </c>
      <c r="K38" s="121" t="s">
        <v>35</v>
      </c>
      <c r="L38" s="120">
        <v>901.90601274000016</v>
      </c>
      <c r="M38" s="121" t="s">
        <v>35</v>
      </c>
      <c r="N38" s="120">
        <v>47.684399999999997</v>
      </c>
      <c r="O38" s="121"/>
      <c r="P38" s="120">
        <v>1.0379099999999999</v>
      </c>
      <c r="Q38" s="121"/>
      <c r="R38" s="120">
        <v>50.692125714285716</v>
      </c>
    </row>
    <row r="39" spans="1:18" s="131" customFormat="1" x14ac:dyDescent="0.25">
      <c r="A39" s="164">
        <v>2021</v>
      </c>
      <c r="B39" s="127"/>
      <c r="C39" s="132"/>
      <c r="D39" s="133"/>
      <c r="E39" s="134"/>
      <c r="F39" s="133"/>
      <c r="G39" s="134"/>
      <c r="H39" s="133"/>
      <c r="I39" s="134"/>
      <c r="J39" s="133"/>
      <c r="K39" s="134"/>
      <c r="L39" s="133"/>
      <c r="M39" s="134"/>
      <c r="N39" s="133"/>
      <c r="O39" s="134"/>
      <c r="P39" s="133"/>
      <c r="Q39" s="134"/>
      <c r="R39" s="133"/>
    </row>
    <row r="40" spans="1:18" x14ac:dyDescent="0.25">
      <c r="A40" s="55">
        <v>2022</v>
      </c>
      <c r="B40" s="39">
        <v>1</v>
      </c>
      <c r="C40" s="115"/>
      <c r="D40" s="116">
        <v>35.067255196000005</v>
      </c>
      <c r="E40" s="117"/>
      <c r="F40" s="116">
        <v>2.4435016923076924</v>
      </c>
      <c r="G40" s="117"/>
      <c r="H40" s="116">
        <v>25.382295798525004</v>
      </c>
      <c r="I40" s="117"/>
      <c r="J40" s="116">
        <v>25.8</v>
      </c>
      <c r="K40" s="117"/>
      <c r="L40" s="116">
        <v>938.34301565469616</v>
      </c>
      <c r="M40" s="117"/>
      <c r="N40" s="116">
        <v>47.684399999999997</v>
      </c>
      <c r="O40" s="117"/>
      <c r="P40" s="116">
        <v>1.0379099999999999</v>
      </c>
      <c r="Q40" s="117"/>
      <c r="R40" s="116">
        <v>50.692125714285716</v>
      </c>
    </row>
    <row r="41" spans="1:18" x14ac:dyDescent="0.25">
      <c r="A41" s="55">
        <v>2023</v>
      </c>
      <c r="B41" s="39">
        <v>1.03</v>
      </c>
      <c r="C41" s="115"/>
      <c r="D41" s="116">
        <v>36.119272851880005</v>
      </c>
      <c r="E41" s="117"/>
      <c r="F41" s="116">
        <v>2.5168067430769234</v>
      </c>
      <c r="G41" s="117"/>
      <c r="H41" s="116">
        <v>26.143764672480753</v>
      </c>
      <c r="I41" s="117"/>
      <c r="J41" s="116">
        <v>25.923106749115462</v>
      </c>
      <c r="K41" s="117"/>
      <c r="L41" s="116">
        <v>985.82317224682379</v>
      </c>
      <c r="M41" s="117"/>
      <c r="N41" s="116">
        <v>49.114931999999996</v>
      </c>
      <c r="O41" s="117"/>
      <c r="P41" s="116">
        <v>1.0690472999999998</v>
      </c>
      <c r="Q41" s="117"/>
      <c r="R41" s="116">
        <v>52.212889485714285</v>
      </c>
    </row>
    <row r="42" spans="1:18" x14ac:dyDescent="0.25">
      <c r="A42" s="55">
        <v>2024</v>
      </c>
      <c r="B42" s="39">
        <v>1.0609</v>
      </c>
      <c r="C42" s="115"/>
      <c r="D42" s="116">
        <v>37.202851037436403</v>
      </c>
      <c r="E42" s="117"/>
      <c r="F42" s="116">
        <v>2.5923109453692308</v>
      </c>
      <c r="G42" s="117"/>
      <c r="H42" s="116">
        <v>26.928077612655176</v>
      </c>
      <c r="I42" s="117"/>
      <c r="J42" s="116">
        <v>26.046800911861851</v>
      </c>
      <c r="K42" s="117"/>
      <c r="L42" s="116">
        <v>1035.705824762513</v>
      </c>
      <c r="M42" s="117"/>
      <c r="N42" s="116">
        <v>50.588379959999997</v>
      </c>
      <c r="O42" s="117"/>
      <c r="P42" s="116">
        <v>1.1011187189999998</v>
      </c>
      <c r="Q42" s="117"/>
      <c r="R42" s="116">
        <v>53.779276170285712</v>
      </c>
    </row>
    <row r="43" spans="1:18" x14ac:dyDescent="0.25">
      <c r="A43" s="55">
        <v>2025</v>
      </c>
      <c r="B43" s="39">
        <v>1.092727</v>
      </c>
      <c r="C43" s="115"/>
      <c r="D43" s="116">
        <v>38.318936568559501</v>
      </c>
      <c r="E43" s="117"/>
      <c r="F43" s="116">
        <v>2.6700802737303078</v>
      </c>
      <c r="G43" s="117"/>
      <c r="H43" s="116">
        <v>27.735919941034833</v>
      </c>
      <c r="I43" s="117"/>
      <c r="J43" s="116">
        <v>26.171085291129955</v>
      </c>
      <c r="K43" s="117"/>
      <c r="L43" s="116">
        <v>1088.1125394954963</v>
      </c>
      <c r="M43" s="117"/>
      <c r="N43" s="116">
        <v>52.106031358799996</v>
      </c>
      <c r="O43" s="117"/>
      <c r="P43" s="116">
        <v>1.1341522805699999</v>
      </c>
      <c r="Q43" s="117"/>
      <c r="R43" s="116">
        <v>55.392654455394286</v>
      </c>
    </row>
    <row r="44" spans="1:18" x14ac:dyDescent="0.25">
      <c r="A44" s="55">
        <v>2026</v>
      </c>
      <c r="B44" s="39">
        <v>1.1255088099999999</v>
      </c>
      <c r="C44" s="115"/>
      <c r="D44" s="116">
        <v>39.46850466561628</v>
      </c>
      <c r="E44" s="117"/>
      <c r="F44" s="116">
        <v>2.750182681942217</v>
      </c>
      <c r="G44" s="117"/>
      <c r="H44" s="116">
        <v>28.567997539265875</v>
      </c>
      <c r="I44" s="117"/>
      <c r="J44" s="116">
        <v>26.295962703184784</v>
      </c>
      <c r="K44" s="117"/>
      <c r="L44" s="116">
        <v>1143.1710339939684</v>
      </c>
      <c r="M44" s="117"/>
      <c r="N44" s="116">
        <v>53.669212299563995</v>
      </c>
      <c r="O44" s="117"/>
      <c r="P44" s="116">
        <v>1.1681768489870998</v>
      </c>
      <c r="Q44" s="117"/>
      <c r="R44" s="116">
        <v>57.054434089056109</v>
      </c>
    </row>
    <row r="45" spans="1:18" x14ac:dyDescent="0.25">
      <c r="A45" s="55">
        <v>2027</v>
      </c>
      <c r="B45" s="39">
        <v>1.1592740742999998</v>
      </c>
      <c r="C45" s="115"/>
      <c r="D45" s="116">
        <v>40.652559805584765</v>
      </c>
      <c r="E45" s="117"/>
      <c r="F45" s="116">
        <v>2.8326881624004834</v>
      </c>
      <c r="G45" s="117"/>
      <c r="H45" s="116">
        <v>29.42503746544385</v>
      </c>
      <c r="I45" s="117"/>
      <c r="J45" s="116">
        <v>26.421435977729381</v>
      </c>
      <c r="K45" s="117"/>
      <c r="L45" s="116">
        <v>1201.0154883140628</v>
      </c>
      <c r="M45" s="117"/>
      <c r="N45" s="116">
        <v>55.279288668550912</v>
      </c>
      <c r="O45" s="117"/>
      <c r="P45" s="116">
        <v>1.2032221544567128</v>
      </c>
      <c r="Q45" s="117"/>
      <c r="R45" s="116">
        <v>58.766067111727793</v>
      </c>
    </row>
    <row r="46" spans="1:18" x14ac:dyDescent="0.25">
      <c r="A46" s="55">
        <v>2028</v>
      </c>
      <c r="B46" s="39">
        <v>1.1940522965289999</v>
      </c>
      <c r="C46" s="115"/>
      <c r="D46" s="116">
        <v>41.872136599752309</v>
      </c>
      <c r="E46" s="117"/>
      <c r="F46" s="116">
        <v>2.9176688072724977</v>
      </c>
      <c r="G46" s="117"/>
      <c r="H46" s="116">
        <v>30.307788589407167</v>
      </c>
      <c r="I46" s="117"/>
      <c r="J46" s="116">
        <v>26.547507957968939</v>
      </c>
      <c r="K46" s="117"/>
      <c r="L46" s="116">
        <v>1261.7868720227546</v>
      </c>
      <c r="M46" s="117"/>
      <c r="N46" s="116">
        <v>56.937667328607439</v>
      </c>
      <c r="O46" s="117"/>
      <c r="P46" s="116">
        <v>1.2393188190904141</v>
      </c>
      <c r="Q46" s="117"/>
      <c r="R46" s="116">
        <v>60.529049125079631</v>
      </c>
    </row>
    <row r="47" spans="1:18" x14ac:dyDescent="0.25">
      <c r="A47" s="55">
        <v>2029</v>
      </c>
      <c r="B47" s="39">
        <v>1.22987386542487</v>
      </c>
      <c r="C47" s="115"/>
      <c r="D47" s="116">
        <v>43.128300697744884</v>
      </c>
      <c r="E47" s="117"/>
      <c r="F47" s="116">
        <v>3.005198871490673</v>
      </c>
      <c r="G47" s="117"/>
      <c r="H47" s="116">
        <v>31.217022247089382</v>
      </c>
      <c r="I47" s="117"/>
      <c r="J47" s="116">
        <v>26.674181500675239</v>
      </c>
      <c r="K47" s="117"/>
      <c r="L47" s="116">
        <v>1325.6332877471061</v>
      </c>
      <c r="M47" s="117"/>
      <c r="N47" s="116">
        <v>58.645797348465663</v>
      </c>
      <c r="O47" s="117"/>
      <c r="P47" s="116">
        <v>1.2764983836631267</v>
      </c>
      <c r="Q47" s="117"/>
      <c r="R47" s="116">
        <v>62.344920598832019</v>
      </c>
    </row>
    <row r="48" spans="1:18" x14ac:dyDescent="0.25">
      <c r="A48" s="55">
        <v>2030</v>
      </c>
      <c r="B48" s="39">
        <v>1.2667700813876162</v>
      </c>
      <c r="C48" s="115"/>
      <c r="D48" s="116">
        <v>44.422149718677232</v>
      </c>
      <c r="E48" s="117"/>
      <c r="F48" s="116">
        <v>3.0953548376353934</v>
      </c>
      <c r="G48" s="117"/>
      <c r="H48" s="116">
        <v>32.153532914502065</v>
      </c>
      <c r="I48" s="117"/>
      <c r="J48" s="116">
        <v>26.801459476251363</v>
      </c>
      <c r="K48" s="117"/>
      <c r="L48" s="116">
        <v>1392.7103321071097</v>
      </c>
      <c r="M48" s="117"/>
      <c r="N48" s="116">
        <v>60.405171268919638</v>
      </c>
      <c r="O48" s="117"/>
      <c r="P48" s="116">
        <v>1.3147933351730205</v>
      </c>
      <c r="Q48" s="117"/>
      <c r="R48" s="116">
        <v>64.215268216796986</v>
      </c>
    </row>
    <row r="49" spans="1:18" x14ac:dyDescent="0.25">
      <c r="A49" s="55">
        <v>2031</v>
      </c>
      <c r="B49" s="39">
        <v>1.3047731838292447</v>
      </c>
      <c r="C49" s="115"/>
      <c r="D49" s="116">
        <v>45.754814210237548</v>
      </c>
      <c r="E49" s="117"/>
      <c r="F49" s="116">
        <v>3.1882154827644551</v>
      </c>
      <c r="G49" s="117"/>
      <c r="H49" s="116">
        <v>33.11813890193713</v>
      </c>
      <c r="I49" s="117"/>
      <c r="J49" s="116">
        <v>26.929344768796756</v>
      </c>
      <c r="K49" s="117"/>
      <c r="L49" s="116">
        <v>1463.1814749117293</v>
      </c>
      <c r="M49" s="117"/>
      <c r="N49" s="116">
        <v>62.217326406987233</v>
      </c>
      <c r="O49" s="117"/>
      <c r="P49" s="116">
        <v>1.3542371352282112</v>
      </c>
      <c r="Q49" s="117"/>
      <c r="R49" s="116">
        <v>66.141726263300896</v>
      </c>
    </row>
    <row r="50" spans="1:18" x14ac:dyDescent="0.25">
      <c r="A50" s="55">
        <v>2032</v>
      </c>
      <c r="B50" s="39">
        <v>1.343916379344122</v>
      </c>
      <c r="C50" s="115"/>
      <c r="D50" s="116">
        <v>47.127458636544674</v>
      </c>
      <c r="E50" s="117"/>
      <c r="F50" s="116">
        <v>3.2838619472473889</v>
      </c>
      <c r="G50" s="117"/>
      <c r="H50" s="116">
        <v>34.111683068995241</v>
      </c>
      <c r="I50" s="117"/>
      <c r="J50" s="116">
        <v>27.057840276172573</v>
      </c>
      <c r="K50" s="117"/>
      <c r="L50" s="116">
        <v>1537.218457542263</v>
      </c>
      <c r="M50" s="117"/>
      <c r="N50" s="116">
        <v>64.083846199196842</v>
      </c>
      <c r="O50" s="117"/>
      <c r="P50" s="116">
        <v>1.3948642492850576</v>
      </c>
      <c r="Q50" s="117"/>
      <c r="R50" s="116">
        <v>68.125978051199922</v>
      </c>
    </row>
    <row r="51" spans="1:18" x14ac:dyDescent="0.25">
      <c r="A51" s="55">
        <v>2033</v>
      </c>
      <c r="B51" s="39">
        <v>1.3842338707244457</v>
      </c>
      <c r="C51" s="115"/>
      <c r="D51" s="116">
        <v>48.541282395641019</v>
      </c>
      <c r="E51" s="117"/>
      <c r="F51" s="116">
        <v>3.3823778056648108</v>
      </c>
      <c r="G51" s="117"/>
      <c r="H51" s="116">
        <v>35.1350335610651</v>
      </c>
      <c r="I51" s="117"/>
      <c r="J51" s="116">
        <v>27.186948910067347</v>
      </c>
      <c r="K51" s="117"/>
      <c r="L51" s="116">
        <v>1615.0017114939012</v>
      </c>
      <c r="M51" s="117"/>
      <c r="N51" s="116">
        <v>66.006361585172755</v>
      </c>
      <c r="O51" s="117"/>
      <c r="P51" s="116">
        <v>1.4367101767636092</v>
      </c>
      <c r="Q51" s="117"/>
      <c r="R51" s="116">
        <v>70.169757392735917</v>
      </c>
    </row>
    <row r="52" spans="1:18" x14ac:dyDescent="0.25">
      <c r="A52" s="55">
        <v>2034</v>
      </c>
      <c r="B52" s="39">
        <v>1.4257608868461791</v>
      </c>
      <c r="C52" s="115"/>
      <c r="D52" s="116">
        <v>49.997520867510246</v>
      </c>
      <c r="E52" s="117"/>
      <c r="F52" s="116">
        <v>3.4838491398347551</v>
      </c>
      <c r="G52" s="117"/>
      <c r="H52" s="116">
        <v>36.189084567897055</v>
      </c>
      <c r="I52" s="117"/>
      <c r="J52" s="116">
        <v>27.316673596062952</v>
      </c>
      <c r="K52" s="117"/>
      <c r="L52" s="116">
        <v>1696.7207980954929</v>
      </c>
      <c r="M52" s="117"/>
      <c r="N52" s="116">
        <v>67.986552432727933</v>
      </c>
      <c r="O52" s="117"/>
      <c r="P52" s="116">
        <v>1.4798114820665176</v>
      </c>
      <c r="Q52" s="117"/>
      <c r="R52" s="116">
        <v>72.274850114518003</v>
      </c>
    </row>
    <row r="53" spans="1:18" x14ac:dyDescent="0.25">
      <c r="A53" s="55">
        <v>2035</v>
      </c>
      <c r="B53" s="39">
        <v>1.4685337134515644</v>
      </c>
      <c r="C53" s="115"/>
      <c r="D53" s="116">
        <v>51.497446493535556</v>
      </c>
      <c r="E53" s="117"/>
      <c r="F53" s="116">
        <v>3.5883646140297976</v>
      </c>
      <c r="G53" s="117"/>
      <c r="H53" s="116">
        <v>37.274757104933961</v>
      </c>
      <c r="I53" s="117"/>
      <c r="J53" s="116">
        <v>27.447017273700919</v>
      </c>
      <c r="K53" s="117"/>
      <c r="L53" s="116">
        <v>1782.5748704791245</v>
      </c>
      <c r="M53" s="117"/>
      <c r="N53" s="116">
        <v>70.026149005709769</v>
      </c>
      <c r="O53" s="117"/>
      <c r="P53" s="116">
        <v>1.524205826528513</v>
      </c>
      <c r="Q53" s="117"/>
      <c r="R53" s="116">
        <v>74.443095617953531</v>
      </c>
    </row>
    <row r="54" spans="1:18" x14ac:dyDescent="0.25">
      <c r="A54" s="55">
        <v>2036</v>
      </c>
      <c r="B54" s="39">
        <v>1.5125897248551112</v>
      </c>
      <c r="C54" s="115"/>
      <c r="D54" s="116">
        <v>53.042369888341618</v>
      </c>
      <c r="E54" s="117"/>
      <c r="F54" s="116">
        <v>3.696015552450691</v>
      </c>
      <c r="G54" s="117"/>
      <c r="H54" s="116">
        <v>38.392999818081982</v>
      </c>
      <c r="I54" s="117"/>
      <c r="J54" s="116">
        <v>27.577982896549031</v>
      </c>
      <c r="K54" s="117"/>
      <c r="L54" s="116">
        <v>1872.7731589253685</v>
      </c>
      <c r="M54" s="117"/>
      <c r="N54" s="116">
        <v>72.12693347588106</v>
      </c>
      <c r="O54" s="117"/>
      <c r="P54" s="116">
        <v>1.5699320013243683</v>
      </c>
      <c r="Q54" s="117"/>
      <c r="R54" s="116">
        <v>76.676388486492144</v>
      </c>
    </row>
    <row r="55" spans="1:18" x14ac:dyDescent="0.25">
      <c r="A55" s="55">
        <v>2037</v>
      </c>
      <c r="B55" s="39">
        <v>1.5579674166007647</v>
      </c>
      <c r="C55" s="115"/>
      <c r="D55" s="116">
        <v>54.633640984991871</v>
      </c>
      <c r="E55" s="117"/>
      <c r="F55" s="116">
        <v>3.806896019024212</v>
      </c>
      <c r="G55" s="117"/>
      <c r="H55" s="116">
        <v>39.544789812624444</v>
      </c>
      <c r="I55" s="117"/>
      <c r="J55" s="116">
        <v>27.709573432268257</v>
      </c>
      <c r="K55" s="117"/>
      <c r="L55" s="116">
        <v>1967.5354807669921</v>
      </c>
      <c r="M55" s="117"/>
      <c r="N55" s="116">
        <v>74.290741480157493</v>
      </c>
      <c r="O55" s="117"/>
      <c r="P55" s="116">
        <v>1.6170299613640995</v>
      </c>
      <c r="Q55" s="117"/>
      <c r="R55" s="116">
        <v>78.976680141086902</v>
      </c>
    </row>
    <row r="56" spans="1:18" x14ac:dyDescent="0.25">
      <c r="A56" s="55">
        <v>2038</v>
      </c>
      <c r="B56" s="39">
        <v>1.6047064390987875</v>
      </c>
      <c r="C56" s="115"/>
      <c r="D56" s="116">
        <v>56.272650214541621</v>
      </c>
      <c r="E56" s="117"/>
      <c r="F56" s="116">
        <v>3.9211028995949384</v>
      </c>
      <c r="G56" s="117"/>
      <c r="H56" s="116">
        <v>40.731133507003172</v>
      </c>
      <c r="I56" s="117"/>
      <c r="J56" s="116"/>
      <c r="K56" s="117"/>
      <c r="L56" s="116">
        <v>2067.0927760938016</v>
      </c>
      <c r="M56" s="117"/>
      <c r="N56" s="116">
        <v>76.519463724562215</v>
      </c>
      <c r="O56" s="117"/>
      <c r="P56" s="116">
        <v>1.6655408602050223</v>
      </c>
      <c r="Q56" s="117"/>
      <c r="R56" s="116">
        <v>81.345980545319506</v>
      </c>
    </row>
    <row r="57" spans="1:18" x14ac:dyDescent="0.25">
      <c r="A57" s="55">
        <v>2039</v>
      </c>
      <c r="B57" s="39">
        <v>1.6528476322717511</v>
      </c>
      <c r="C57" s="115"/>
      <c r="D57" s="116">
        <v>57.96082972097787</v>
      </c>
      <c r="E57" s="117"/>
      <c r="F57" s="116">
        <v>4.0387359865827861</v>
      </c>
      <c r="G57" s="117"/>
      <c r="H57" s="116">
        <v>41.953067512213266</v>
      </c>
      <c r="I57" s="117"/>
      <c r="J57" s="116"/>
      <c r="K57" s="117"/>
      <c r="L57" s="116">
        <v>2171.687670564148</v>
      </c>
      <c r="M57" s="117"/>
      <c r="N57" s="116">
        <v>78.815047636299084</v>
      </c>
      <c r="O57" s="117"/>
      <c r="P57" s="116">
        <v>1.715507086011173</v>
      </c>
      <c r="Q57" s="117"/>
      <c r="R57" s="116">
        <v>83.786359961679096</v>
      </c>
    </row>
    <row r="58" spans="1:18" x14ac:dyDescent="0.25">
      <c r="A58" s="55">
        <v>2040</v>
      </c>
      <c r="B58" s="39">
        <v>1.7024330612399037</v>
      </c>
      <c r="C58" s="115"/>
      <c r="D58" s="116">
        <v>59.699654612607205</v>
      </c>
      <c r="E58" s="117"/>
      <c r="F58" s="116">
        <v>4.1598980661802702</v>
      </c>
      <c r="G58" s="117"/>
      <c r="H58" s="116">
        <v>43.211659537579671</v>
      </c>
      <c r="I58" s="117"/>
      <c r="J58" s="116"/>
      <c r="K58" s="117"/>
      <c r="L58" s="116">
        <v>2281.5750666946942</v>
      </c>
      <c r="M58" s="117"/>
      <c r="N58" s="116">
        <v>81.179499065388057</v>
      </c>
      <c r="O58" s="117"/>
      <c r="P58" s="116">
        <v>1.7669722985915082</v>
      </c>
      <c r="Q58" s="117"/>
      <c r="R58" s="116">
        <v>86.29995076052947</v>
      </c>
    </row>
    <row r="59" spans="1:18" x14ac:dyDescent="0.25">
      <c r="A59" s="55">
        <v>2041</v>
      </c>
      <c r="B59" s="39">
        <v>1.7535060530771007</v>
      </c>
      <c r="C59" s="115"/>
      <c r="D59" s="116">
        <v>61.490644250985419</v>
      </c>
      <c r="E59" s="117"/>
      <c r="F59" s="116">
        <v>4.2846950081656781</v>
      </c>
      <c r="G59" s="117"/>
      <c r="H59" s="116">
        <v>44.508009323707057</v>
      </c>
      <c r="I59" s="117"/>
      <c r="J59" s="116"/>
      <c r="K59" s="117"/>
      <c r="L59" s="116">
        <v>2397.0227650694455</v>
      </c>
      <c r="M59" s="117"/>
      <c r="N59" s="116">
        <v>83.614884037349697</v>
      </c>
      <c r="O59" s="117"/>
      <c r="P59" s="116">
        <v>1.8199814675492534</v>
      </c>
      <c r="Q59" s="117"/>
      <c r="R59" s="116">
        <v>88.888949283345355</v>
      </c>
    </row>
    <row r="60" spans="1:18" x14ac:dyDescent="0.25">
      <c r="A60" s="55">
        <v>2042</v>
      </c>
      <c r="B60" s="39">
        <v>1.8061112346694137</v>
      </c>
      <c r="C60" s="115"/>
      <c r="D60" s="116">
        <v>63.335363578514979</v>
      </c>
      <c r="E60" s="117"/>
      <c r="F60" s="116">
        <v>4.4132358584106486</v>
      </c>
      <c r="G60" s="117"/>
      <c r="H60" s="116">
        <v>45.843249603418265</v>
      </c>
      <c r="I60" s="117"/>
      <c r="J60" s="116"/>
      <c r="K60" s="117"/>
      <c r="L60" s="116">
        <v>2518.3121169819592</v>
      </c>
      <c r="M60" s="117"/>
      <c r="N60" s="116">
        <v>86.123330558470187</v>
      </c>
      <c r="O60" s="117"/>
      <c r="P60" s="116">
        <v>1.874580911575731</v>
      </c>
      <c r="Q60" s="117"/>
      <c r="R60" s="116">
        <v>91.55561776184571</v>
      </c>
    </row>
    <row r="61" spans="1:18" x14ac:dyDescent="0.25">
      <c r="A61" s="55">
        <v>2043</v>
      </c>
      <c r="B61" s="39">
        <v>1.8602945717094961</v>
      </c>
      <c r="C61" s="115"/>
      <c r="D61" s="116">
        <v>65.235424485870425</v>
      </c>
      <c r="E61" s="117"/>
      <c r="F61" s="116">
        <v>4.5456329341629678</v>
      </c>
      <c r="G61" s="117"/>
      <c r="H61" s="116">
        <v>47.218547091520811</v>
      </c>
      <c r="I61" s="117"/>
      <c r="J61" s="116"/>
      <c r="K61" s="117"/>
      <c r="L61" s="116">
        <v>2645.7387101012464</v>
      </c>
      <c r="M61" s="117"/>
      <c r="N61" s="116">
        <v>88.707030475224286</v>
      </c>
      <c r="O61" s="117"/>
      <c r="P61" s="116">
        <v>1.9308183389230029</v>
      </c>
      <c r="Q61" s="117"/>
      <c r="R61" s="116">
        <v>94.302286294701076</v>
      </c>
    </row>
    <row r="62" spans="1:18" x14ac:dyDescent="0.25">
      <c r="A62" s="55">
        <v>2044</v>
      </c>
      <c r="B62" s="39">
        <v>1.9161034088607809</v>
      </c>
      <c r="C62" s="115"/>
      <c r="D62" s="116">
        <v>67.192487220446537</v>
      </c>
      <c r="E62" s="117"/>
      <c r="F62" s="116">
        <v>4.6820019221878564</v>
      </c>
      <c r="G62" s="117"/>
      <c r="H62" s="116">
        <v>48.635103504266439</v>
      </c>
      <c r="I62" s="117"/>
      <c r="J62" s="116"/>
      <c r="K62" s="117"/>
      <c r="L62" s="116">
        <v>2779.6130888323692</v>
      </c>
      <c r="M62" s="117"/>
      <c r="N62" s="116">
        <v>91.368241389481014</v>
      </c>
      <c r="O62" s="117"/>
      <c r="P62" s="116">
        <v>1.9887428890906929</v>
      </c>
      <c r="Q62" s="117"/>
      <c r="R62" s="116">
        <v>97.131354883542102</v>
      </c>
    </row>
    <row r="63" spans="1:18" x14ac:dyDescent="0.25">
      <c r="A63" s="55">
        <v>2045</v>
      </c>
      <c r="B63" s="39">
        <v>1.9735865111266042</v>
      </c>
      <c r="C63" s="115"/>
      <c r="D63" s="116">
        <v>69.208261837059936</v>
      </c>
      <c r="E63" s="117"/>
      <c r="F63" s="116">
        <v>4.8224619798534922</v>
      </c>
      <c r="G63" s="117"/>
      <c r="H63" s="116">
        <v>50.094156609394425</v>
      </c>
      <c r="I63" s="117"/>
      <c r="J63" s="116"/>
      <c r="K63" s="117"/>
      <c r="L63" s="116">
        <v>2920.2615111272867</v>
      </c>
      <c r="M63" s="117"/>
      <c r="N63" s="116">
        <v>94.109288631165441</v>
      </c>
      <c r="O63" s="117"/>
      <c r="P63" s="116">
        <v>2.0484051757634134</v>
      </c>
      <c r="Q63" s="117"/>
      <c r="R63" s="116">
        <v>100.04529553004836</v>
      </c>
    </row>
    <row r="64" spans="1:18" x14ac:dyDescent="0.25">
      <c r="A64" s="55">
        <v>2046</v>
      </c>
      <c r="B64" s="39">
        <v>2.0327941064604023</v>
      </c>
      <c r="C64" s="115"/>
      <c r="D64" s="116">
        <v>71.284509692171724</v>
      </c>
      <c r="E64" s="117"/>
      <c r="F64" s="116">
        <v>4.9671358392490967</v>
      </c>
      <c r="G64" s="117"/>
      <c r="H64" s="116">
        <v>51.596981307676259</v>
      </c>
      <c r="I64" s="117"/>
      <c r="J64" s="116"/>
      <c r="K64" s="117"/>
      <c r="L64" s="116">
        <v>3068.0267435903279</v>
      </c>
      <c r="M64" s="117"/>
      <c r="N64" s="116">
        <v>96.932567290100394</v>
      </c>
      <c r="O64" s="117"/>
      <c r="P64" s="116">
        <v>2.109857331036316</v>
      </c>
      <c r="Q64" s="117"/>
      <c r="R64" s="116">
        <v>103.04665439594982</v>
      </c>
    </row>
    <row r="65" spans="1:18" x14ac:dyDescent="0.25">
      <c r="A65" s="55">
        <v>2047</v>
      </c>
      <c r="B65" s="39">
        <v>2.0937779296542143</v>
      </c>
      <c r="C65" s="115"/>
      <c r="D65" s="116">
        <v>73.423044982936872</v>
      </c>
      <c r="E65" s="117"/>
      <c r="F65" s="116">
        <v>5.1161499144265692</v>
      </c>
      <c r="G65" s="117"/>
      <c r="H65" s="116">
        <v>53.14489074690654</v>
      </c>
      <c r="I65" s="117"/>
      <c r="J65" s="116"/>
      <c r="K65" s="117"/>
      <c r="L65" s="116">
        <v>3223.2688968159978</v>
      </c>
      <c r="M65" s="117"/>
      <c r="N65" s="116">
        <v>99.840544308803402</v>
      </c>
      <c r="O65" s="117"/>
      <c r="P65" s="116">
        <v>2.1731530509674055</v>
      </c>
      <c r="Q65" s="117"/>
      <c r="R65" s="116">
        <v>106.1380540278283</v>
      </c>
    </row>
    <row r="66" spans="1:18" x14ac:dyDescent="0.25">
      <c r="A66" s="55">
        <v>2048</v>
      </c>
      <c r="B66" s="39">
        <v>2.1565912675438406</v>
      </c>
      <c r="C66" s="115"/>
      <c r="D66" s="116">
        <v>75.625736332424978</v>
      </c>
      <c r="E66" s="117"/>
      <c r="F66" s="116">
        <v>5.2696344118593661</v>
      </c>
      <c r="G66" s="117"/>
      <c r="H66" s="116">
        <v>54.739237469313736</v>
      </c>
      <c r="I66" s="117"/>
      <c r="J66" s="116"/>
      <c r="K66" s="117"/>
      <c r="L66" s="116">
        <v>3386.3663029948875</v>
      </c>
      <c r="M66" s="117"/>
      <c r="N66" s="116">
        <v>102.8357606380675</v>
      </c>
      <c r="O66" s="117"/>
      <c r="P66" s="116">
        <v>2.2383476424964273</v>
      </c>
      <c r="Q66" s="117"/>
      <c r="R66" s="116">
        <v>109.32219564866314</v>
      </c>
    </row>
    <row r="67" spans="1:18" x14ac:dyDescent="0.25">
      <c r="A67" s="55">
        <v>2049</v>
      </c>
      <c r="B67" s="39">
        <v>2.221289005570156</v>
      </c>
      <c r="C67" s="115"/>
      <c r="D67" s="116">
        <v>77.894508422397735</v>
      </c>
      <c r="E67" s="117"/>
      <c r="F67" s="116">
        <v>5.4277234442151476</v>
      </c>
      <c r="G67" s="117"/>
      <c r="H67" s="116">
        <v>56.381414593393153</v>
      </c>
      <c r="I67" s="117"/>
      <c r="J67" s="116"/>
      <c r="K67" s="117"/>
      <c r="L67" s="116">
        <v>3557.7164379264291</v>
      </c>
      <c r="M67" s="117"/>
      <c r="N67" s="116">
        <v>105.92083345720954</v>
      </c>
      <c r="O67" s="117"/>
      <c r="P67" s="116">
        <v>2.3054980717713205</v>
      </c>
      <c r="Q67" s="117"/>
      <c r="R67" s="116">
        <v>112.60186151812304</v>
      </c>
    </row>
    <row r="68" spans="1:18" ht="15.75" thickBot="1" x14ac:dyDescent="0.3">
      <c r="A68" s="56">
        <v>2050</v>
      </c>
      <c r="B68" s="40">
        <v>2.2879276757372606</v>
      </c>
      <c r="C68" s="124"/>
      <c r="D68" s="125">
        <v>80.231343675069667</v>
      </c>
      <c r="E68" s="126"/>
      <c r="F68" s="125">
        <v>5.5905551475416013</v>
      </c>
      <c r="G68" s="126"/>
      <c r="H68" s="125">
        <v>58.07285703119495</v>
      </c>
      <c r="I68" s="126"/>
      <c r="J68" s="125"/>
      <c r="K68" s="126"/>
      <c r="L68" s="125">
        <v>3737.736889685506</v>
      </c>
      <c r="M68" s="126"/>
      <c r="N68" s="125">
        <v>109.09845846092583</v>
      </c>
      <c r="O68" s="126"/>
      <c r="P68" s="125">
        <v>2.3746630139244598</v>
      </c>
      <c r="Q68" s="126"/>
      <c r="R68" s="125">
        <v>115.97991736366674</v>
      </c>
    </row>
    <row r="69" spans="1:18" ht="15.75" thickTop="1" x14ac:dyDescent="0.25">
      <c r="A69" s="122"/>
      <c r="B69" s="123" t="s">
        <v>152</v>
      </c>
      <c r="C69" s="123"/>
      <c r="D69" s="123">
        <v>1585.7009596440589</v>
      </c>
      <c r="E69" s="123"/>
      <c r="F69" s="123">
        <v>110.49233698867195</v>
      </c>
      <c r="G69" s="123"/>
      <c r="H69" s="123">
        <v>1147.7582314535266</v>
      </c>
      <c r="I69" s="123"/>
      <c r="J69" s="123">
        <v>427.90692172153479</v>
      </c>
      <c r="K69" s="123"/>
      <c r="L69" s="123">
        <v>59061.726495037517</v>
      </c>
      <c r="M69" s="123"/>
      <c r="N69" s="123">
        <v>2156.2337404917871</v>
      </c>
      <c r="O69" s="123"/>
      <c r="P69" s="123">
        <v>46.933096811406479</v>
      </c>
      <c r="Q69" s="123"/>
      <c r="R69" s="123">
        <v>2292.2396390097015</v>
      </c>
    </row>
  </sheetData>
  <mergeCells count="12">
    <mergeCell ref="A3:B3"/>
    <mergeCell ref="C3:D3"/>
    <mergeCell ref="E3:F3"/>
    <mergeCell ref="G3:H3"/>
    <mergeCell ref="I3:J3"/>
    <mergeCell ref="O3:P3"/>
    <mergeCell ref="Q3:R3"/>
    <mergeCell ref="O2:R2"/>
    <mergeCell ref="K2:N2"/>
    <mergeCell ref="C2:J2"/>
    <mergeCell ref="K3:L3"/>
    <mergeCell ref="M3:N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6E65-D38D-4050-8916-CE6EC5FB44B3}">
  <sheetPr>
    <tabColor theme="9" tint="0.79998168889431442"/>
  </sheetPr>
  <dimension ref="B1:K75"/>
  <sheetViews>
    <sheetView zoomScale="80" zoomScaleNormal="80" workbookViewId="0">
      <selection activeCell="E12" sqref="E12:H40"/>
    </sheetView>
  </sheetViews>
  <sheetFormatPr defaultRowHeight="15" x14ac:dyDescent="0.25"/>
  <cols>
    <col min="1" max="1" width="3.85546875" customWidth="1"/>
    <col min="2" max="2" width="19" customWidth="1"/>
    <col min="3" max="4" width="14" customWidth="1"/>
    <col min="6" max="6" width="26.140625" customWidth="1"/>
    <col min="7" max="7" width="14.5703125" bestFit="1" customWidth="1"/>
    <col min="8" max="8" width="14.85546875" customWidth="1"/>
    <col min="9" max="9" width="11.28515625" customWidth="1"/>
    <col min="10" max="10" width="22" customWidth="1"/>
    <col min="11" max="11" width="12.5703125" customWidth="1"/>
    <col min="12" max="16" width="11.28515625" customWidth="1"/>
  </cols>
  <sheetData>
    <row r="1" spans="2:11" ht="21" x14ac:dyDescent="0.35">
      <c r="B1" s="64" t="s">
        <v>251</v>
      </c>
    </row>
    <row r="2" spans="2:11" x14ac:dyDescent="0.25">
      <c r="B2" s="65" t="s">
        <v>252</v>
      </c>
    </row>
    <row r="4" spans="2:11" s="2" customFormat="1" ht="18" customHeight="1" x14ac:dyDescent="0.25">
      <c r="B4" s="112" t="s">
        <v>210</v>
      </c>
      <c r="C4" s="113" t="s">
        <v>167</v>
      </c>
      <c r="D4" s="113" t="s">
        <v>22</v>
      </c>
      <c r="F4" s="112" t="s">
        <v>210</v>
      </c>
      <c r="G4" s="113" t="s">
        <v>167</v>
      </c>
      <c r="H4" s="113" t="s">
        <v>22</v>
      </c>
      <c r="J4" s="112" t="s">
        <v>217</v>
      </c>
      <c r="K4" s="113" t="s">
        <v>167</v>
      </c>
    </row>
    <row r="5" spans="2:11" s="2" customFormat="1" ht="18" customHeight="1" x14ac:dyDescent="0.25">
      <c r="B5" s="2" t="s">
        <v>216</v>
      </c>
      <c r="C5" s="94">
        <v>331893745</v>
      </c>
      <c r="D5" s="97">
        <f>C7/C5</f>
        <v>2.2846414294430285E-2</v>
      </c>
      <c r="F5" s="2" t="s">
        <v>215</v>
      </c>
      <c r="G5" s="94">
        <v>203222299</v>
      </c>
      <c r="H5" s="161">
        <v>3.731176173732785E-2</v>
      </c>
      <c r="J5" s="2" t="s">
        <v>154</v>
      </c>
      <c r="K5" s="94">
        <v>1648556</v>
      </c>
    </row>
    <row r="6" spans="2:11" s="2" customFormat="1" ht="18" customHeight="1" x14ac:dyDescent="0.25">
      <c r="B6" s="2" t="s">
        <v>153</v>
      </c>
      <c r="C6" s="94">
        <v>39237836</v>
      </c>
      <c r="D6" s="97">
        <f>C7/C6</f>
        <v>0.19324669179003653</v>
      </c>
      <c r="F6" s="2" t="s">
        <v>214</v>
      </c>
      <c r="G6" s="94">
        <v>26095136</v>
      </c>
      <c r="H6" s="162">
        <v>0.29057453465657357</v>
      </c>
      <c r="J6" s="2" t="s">
        <v>158</v>
      </c>
      <c r="K6" s="94">
        <v>1161413</v>
      </c>
    </row>
    <row r="7" spans="2:11" s="2" customFormat="1" ht="18" customHeight="1" thickBot="1" x14ac:dyDescent="0.3">
      <c r="B7" s="12" t="s">
        <v>213</v>
      </c>
      <c r="C7" s="95">
        <f>SUM(K5:K13)</f>
        <v>7582582</v>
      </c>
      <c r="D7" s="96" t="s">
        <v>35</v>
      </c>
      <c r="F7" s="12" t="s">
        <v>213</v>
      </c>
      <c r="G7" s="95">
        <v>7582582</v>
      </c>
      <c r="H7" s="163" t="s">
        <v>35</v>
      </c>
      <c r="J7" s="2" t="s">
        <v>209</v>
      </c>
      <c r="K7" s="94">
        <v>260206</v>
      </c>
    </row>
    <row r="8" spans="2:11" s="2" customFormat="1" ht="18" customHeight="1" thickTop="1" x14ac:dyDescent="0.25">
      <c r="B8" s="77" t="s">
        <v>212</v>
      </c>
      <c r="J8" s="2" t="s">
        <v>156</v>
      </c>
      <c r="K8" s="94">
        <v>136207</v>
      </c>
    </row>
    <row r="9" spans="2:11" ht="18" customHeight="1" x14ac:dyDescent="0.25">
      <c r="B9" s="58" t="s">
        <v>211</v>
      </c>
      <c r="J9" s="2" t="s">
        <v>208</v>
      </c>
      <c r="K9" s="94">
        <v>815201</v>
      </c>
    </row>
    <row r="10" spans="2:11" ht="18" customHeight="1" x14ac:dyDescent="0.25">
      <c r="J10" s="2" t="s">
        <v>157</v>
      </c>
      <c r="K10" s="94">
        <v>737888</v>
      </c>
    </row>
    <row r="11" spans="2:11" ht="18" customHeight="1" x14ac:dyDescent="0.25">
      <c r="G11" s="98"/>
      <c r="J11" s="2" t="s">
        <v>159</v>
      </c>
      <c r="K11" s="94">
        <v>1885508</v>
      </c>
    </row>
    <row r="12" spans="2:11" ht="18" customHeight="1" x14ac:dyDescent="0.25">
      <c r="J12" s="2" t="s">
        <v>207</v>
      </c>
      <c r="K12" s="94">
        <v>451716</v>
      </c>
    </row>
    <row r="13" spans="2:11" ht="18" customHeight="1" thickBot="1" x14ac:dyDescent="0.3">
      <c r="J13" s="12" t="s">
        <v>155</v>
      </c>
      <c r="K13" s="95">
        <v>485887</v>
      </c>
    </row>
    <row r="14" spans="2:11" ht="18" customHeight="1" thickTop="1" x14ac:dyDescent="0.25">
      <c r="J14" s="157" t="s">
        <v>206</v>
      </c>
      <c r="K14" s="99"/>
    </row>
    <row r="15" spans="2:11" x14ac:dyDescent="0.25">
      <c r="B15" s="155"/>
      <c r="C15" s="156"/>
      <c r="D15" s="110"/>
      <c r="E15" s="110"/>
      <c r="F15" s="108"/>
      <c r="G15" s="108"/>
      <c r="H15" s="110"/>
      <c r="I15" s="110"/>
      <c r="J15" s="110"/>
      <c r="K15" s="110"/>
    </row>
    <row r="16" spans="2:11" x14ac:dyDescent="0.25">
      <c r="B16" s="157"/>
      <c r="C16" s="158"/>
      <c r="D16" s="110"/>
      <c r="E16" s="110"/>
      <c r="F16" s="157"/>
      <c r="G16" s="159"/>
      <c r="H16" s="110"/>
      <c r="I16" s="110"/>
      <c r="J16" s="110"/>
      <c r="K16" s="110"/>
    </row>
    <row r="17" spans="2:11" x14ac:dyDescent="0.25">
      <c r="B17" s="157"/>
      <c r="C17" s="158"/>
      <c r="D17" s="110"/>
      <c r="E17" s="110"/>
      <c r="F17" s="157"/>
      <c r="G17" s="159"/>
      <c r="H17" s="110"/>
      <c r="I17" s="110"/>
      <c r="J17" s="110"/>
      <c r="K17" s="110"/>
    </row>
    <row r="18" spans="2:11" x14ac:dyDescent="0.25">
      <c r="B18" s="157"/>
      <c r="C18" s="158"/>
      <c r="D18" s="110"/>
      <c r="E18" s="110"/>
      <c r="F18" s="157"/>
      <c r="G18" s="160"/>
      <c r="H18" s="110"/>
      <c r="I18" s="110"/>
      <c r="J18" s="110"/>
      <c r="K18" s="110"/>
    </row>
    <row r="19" spans="2:11" x14ac:dyDescent="0.25">
      <c r="B19" s="157"/>
      <c r="C19" s="158"/>
      <c r="D19" s="110"/>
      <c r="E19" s="110"/>
      <c r="F19" s="157"/>
      <c r="G19" s="160"/>
      <c r="H19" s="110"/>
      <c r="I19" s="110"/>
      <c r="J19" s="110"/>
      <c r="K19" s="110"/>
    </row>
    <row r="20" spans="2:11" x14ac:dyDescent="0.25">
      <c r="B20" s="157"/>
      <c r="C20" s="158"/>
      <c r="D20" s="110"/>
      <c r="E20" s="110"/>
      <c r="F20" s="157"/>
      <c r="G20" s="160"/>
      <c r="H20" s="110"/>
      <c r="I20" s="110"/>
      <c r="J20" s="110"/>
      <c r="K20" s="110"/>
    </row>
    <row r="21" spans="2:11" x14ac:dyDescent="0.25">
      <c r="B21" s="157"/>
      <c r="C21" s="158"/>
      <c r="D21" s="110"/>
      <c r="E21" s="110"/>
      <c r="F21" s="157"/>
      <c r="G21" s="159"/>
      <c r="H21" s="110"/>
      <c r="I21" s="110"/>
      <c r="J21" s="110"/>
      <c r="K21" s="110"/>
    </row>
    <row r="22" spans="2:11" x14ac:dyDescent="0.25">
      <c r="B22" s="157"/>
      <c r="C22" s="158"/>
      <c r="D22" s="110"/>
      <c r="E22" s="110"/>
      <c r="F22" s="157"/>
      <c r="G22" s="160"/>
      <c r="H22" s="110"/>
      <c r="I22" s="110"/>
      <c r="J22" s="110"/>
      <c r="K22" s="110"/>
    </row>
    <row r="23" spans="2:11" x14ac:dyDescent="0.25">
      <c r="B23" s="157"/>
      <c r="C23" s="158"/>
      <c r="D23" s="110"/>
      <c r="E23" s="110"/>
      <c r="F23" s="157"/>
      <c r="G23" s="159"/>
      <c r="H23" s="110"/>
      <c r="I23" s="110"/>
      <c r="J23" s="110"/>
      <c r="K23" s="110"/>
    </row>
    <row r="24" spans="2:11" x14ac:dyDescent="0.25">
      <c r="B24" s="157"/>
      <c r="C24" s="158"/>
      <c r="D24" s="110"/>
      <c r="E24" s="110"/>
      <c r="F24" s="157"/>
      <c r="G24" s="159"/>
      <c r="H24" s="110"/>
      <c r="I24" s="110"/>
      <c r="J24" s="110"/>
      <c r="K24" s="110"/>
    </row>
    <row r="25" spans="2:11" x14ac:dyDescent="0.25">
      <c r="B25" s="157"/>
      <c r="C25" s="158"/>
      <c r="D25" s="110"/>
      <c r="E25" s="110"/>
      <c r="F25" s="157"/>
      <c r="G25" s="160"/>
      <c r="H25" s="110"/>
      <c r="I25" s="110"/>
      <c r="J25" s="110"/>
      <c r="K25" s="110"/>
    </row>
    <row r="26" spans="2:11" x14ac:dyDescent="0.25">
      <c r="B26" s="157"/>
      <c r="C26" s="158"/>
      <c r="D26" s="110"/>
      <c r="E26" s="110"/>
      <c r="F26" s="157"/>
      <c r="G26" s="160"/>
      <c r="H26" s="110"/>
      <c r="I26" s="110"/>
      <c r="J26" s="110"/>
      <c r="K26" s="110"/>
    </row>
    <row r="27" spans="2:11" x14ac:dyDescent="0.25">
      <c r="B27" s="157"/>
      <c r="C27" s="158"/>
      <c r="D27" s="110"/>
      <c r="E27" s="110"/>
      <c r="F27" s="157"/>
      <c r="G27" s="159"/>
      <c r="H27" s="110"/>
      <c r="I27" s="110"/>
      <c r="J27" s="110"/>
      <c r="K27" s="110"/>
    </row>
    <row r="28" spans="2:11" x14ac:dyDescent="0.25">
      <c r="B28" s="157"/>
      <c r="C28" s="158"/>
      <c r="D28" s="110"/>
      <c r="E28" s="110"/>
      <c r="F28" s="157"/>
      <c r="G28" s="160"/>
      <c r="H28" s="110"/>
      <c r="I28" s="110"/>
      <c r="J28" s="110"/>
      <c r="K28" s="110"/>
    </row>
    <row r="29" spans="2:11" x14ac:dyDescent="0.25">
      <c r="B29" s="157"/>
      <c r="C29" s="158"/>
      <c r="D29" s="110"/>
      <c r="E29" s="110"/>
      <c r="F29" s="157"/>
      <c r="G29" s="159"/>
      <c r="H29" s="110"/>
      <c r="I29" s="110"/>
      <c r="J29" s="110"/>
      <c r="K29" s="110"/>
    </row>
    <row r="30" spans="2:11" x14ac:dyDescent="0.25">
      <c r="B30" s="157"/>
      <c r="C30" s="158"/>
      <c r="D30" s="110"/>
      <c r="E30" s="110"/>
      <c r="F30" s="157"/>
      <c r="G30" s="160"/>
      <c r="H30" s="110"/>
      <c r="I30" s="110"/>
      <c r="J30" s="110"/>
      <c r="K30" s="110"/>
    </row>
    <row r="31" spans="2:11" x14ac:dyDescent="0.25">
      <c r="B31" s="157"/>
      <c r="C31" s="158"/>
      <c r="D31" s="110"/>
      <c r="E31" s="110"/>
      <c r="F31" s="157"/>
      <c r="G31" s="160"/>
      <c r="H31" s="110"/>
      <c r="I31" s="110"/>
      <c r="J31" s="110"/>
      <c r="K31" s="110"/>
    </row>
    <row r="32" spans="2:11" x14ac:dyDescent="0.25">
      <c r="B32" s="157"/>
      <c r="C32" s="158"/>
      <c r="D32" s="110"/>
      <c r="E32" s="110"/>
      <c r="F32" s="157"/>
      <c r="G32" s="159"/>
      <c r="H32" s="110"/>
      <c r="I32" s="110"/>
      <c r="J32" s="110"/>
      <c r="K32" s="110"/>
    </row>
    <row r="33" spans="2:11" x14ac:dyDescent="0.25">
      <c r="B33" s="157"/>
      <c r="C33" s="158"/>
      <c r="D33" s="110"/>
      <c r="E33" s="110"/>
      <c r="F33" s="157"/>
      <c r="G33" s="159"/>
      <c r="H33" s="110"/>
      <c r="I33" s="110"/>
      <c r="J33" s="110"/>
      <c r="K33" s="110"/>
    </row>
    <row r="34" spans="2:11" x14ac:dyDescent="0.25">
      <c r="B34" s="157"/>
      <c r="C34" s="158"/>
      <c r="D34" s="110"/>
      <c r="E34" s="110"/>
      <c r="F34" s="157"/>
      <c r="G34" s="160"/>
      <c r="H34" s="110"/>
      <c r="I34" s="110"/>
      <c r="J34" s="110"/>
      <c r="K34" s="110"/>
    </row>
    <row r="35" spans="2:11" x14ac:dyDescent="0.25">
      <c r="B35" s="157"/>
      <c r="C35" s="158"/>
      <c r="D35" s="110"/>
      <c r="E35" s="110"/>
      <c r="F35" s="157"/>
      <c r="G35" s="160"/>
      <c r="H35" s="110"/>
      <c r="I35" s="110"/>
      <c r="J35" s="110"/>
      <c r="K35" s="110"/>
    </row>
    <row r="36" spans="2:11" x14ac:dyDescent="0.25">
      <c r="B36" s="157"/>
      <c r="C36" s="158"/>
      <c r="D36" s="110"/>
      <c r="E36" s="110"/>
      <c r="F36" s="108"/>
      <c r="G36" s="109"/>
      <c r="H36" s="110"/>
      <c r="I36" s="110"/>
      <c r="J36" s="110"/>
      <c r="K36" s="110"/>
    </row>
    <row r="37" spans="2:11" x14ac:dyDescent="0.25">
      <c r="B37" s="157"/>
      <c r="C37" s="158"/>
      <c r="D37" s="110"/>
      <c r="E37" s="110"/>
      <c r="F37" s="110"/>
      <c r="G37" s="110"/>
      <c r="H37" s="110"/>
      <c r="I37" s="110"/>
      <c r="J37" s="110"/>
      <c r="K37" s="110"/>
    </row>
    <row r="38" spans="2:11" x14ac:dyDescent="0.25">
      <c r="B38" s="157"/>
      <c r="C38" s="158"/>
      <c r="D38" s="110"/>
      <c r="E38" s="110"/>
      <c r="F38" s="157"/>
      <c r="G38" s="110"/>
      <c r="H38" s="157"/>
      <c r="I38" s="110"/>
      <c r="J38" s="110"/>
      <c r="K38" s="110"/>
    </row>
    <row r="39" spans="2:11" x14ac:dyDescent="0.25">
      <c r="B39" s="155"/>
      <c r="C39" s="156"/>
      <c r="D39" s="110"/>
      <c r="E39" s="110"/>
      <c r="F39" s="110"/>
      <c r="G39" s="110"/>
      <c r="H39" s="110"/>
      <c r="I39" s="110"/>
      <c r="J39" s="110"/>
      <c r="K39" s="110"/>
    </row>
    <row r="40" spans="2:11" x14ac:dyDescent="0.25">
      <c r="B40" s="157"/>
      <c r="C40" s="157"/>
      <c r="D40" s="110"/>
      <c r="E40" s="110"/>
      <c r="F40" s="110"/>
      <c r="G40" s="110"/>
      <c r="H40" s="110"/>
      <c r="I40" s="110"/>
      <c r="J40" s="111"/>
      <c r="K40" s="110"/>
    </row>
    <row r="41" spans="2:11" x14ac:dyDescent="0.25">
      <c r="B41" s="108"/>
      <c r="C41" s="109"/>
      <c r="D41" s="110"/>
      <c r="E41" s="110"/>
      <c r="F41" s="110"/>
      <c r="G41" s="110"/>
      <c r="H41" s="110"/>
      <c r="I41" s="110"/>
      <c r="J41" s="110"/>
      <c r="K41" s="110"/>
    </row>
    <row r="42" spans="2:11" x14ac:dyDescent="0.25">
      <c r="C42" s="107"/>
    </row>
    <row r="43" spans="2:11" x14ac:dyDescent="0.25">
      <c r="C43" s="107"/>
    </row>
    <row r="44" spans="2:11" x14ac:dyDescent="0.25">
      <c r="C44" s="107"/>
    </row>
    <row r="45" spans="2:11" x14ac:dyDescent="0.25">
      <c r="C45" s="107"/>
    </row>
    <row r="46" spans="2:11" x14ac:dyDescent="0.25">
      <c r="C46" s="107"/>
    </row>
    <row r="47" spans="2:11" x14ac:dyDescent="0.25">
      <c r="C47" s="107"/>
    </row>
    <row r="48" spans="2:11" x14ac:dyDescent="0.25">
      <c r="C48" s="107"/>
    </row>
    <row r="49" spans="3:3" x14ac:dyDescent="0.25">
      <c r="C49" s="107"/>
    </row>
    <row r="50" spans="3:3" x14ac:dyDescent="0.25">
      <c r="C50" s="107"/>
    </row>
    <row r="51" spans="3:3" x14ac:dyDescent="0.25">
      <c r="C51" s="107"/>
    </row>
    <row r="52" spans="3:3" x14ac:dyDescent="0.25">
      <c r="C52" s="107"/>
    </row>
    <row r="53" spans="3:3" x14ac:dyDescent="0.25">
      <c r="C53" s="107"/>
    </row>
    <row r="54" spans="3:3" x14ac:dyDescent="0.25">
      <c r="C54" s="107"/>
    </row>
    <row r="55" spans="3:3" x14ac:dyDescent="0.25">
      <c r="C55" s="107"/>
    </row>
    <row r="56" spans="3:3" x14ac:dyDescent="0.25">
      <c r="C56" s="107"/>
    </row>
    <row r="57" spans="3:3" x14ac:dyDescent="0.25">
      <c r="C57" s="107"/>
    </row>
    <row r="58" spans="3:3" x14ac:dyDescent="0.25">
      <c r="C58" s="107"/>
    </row>
    <row r="59" spans="3:3" x14ac:dyDescent="0.25">
      <c r="C59" s="107"/>
    </row>
    <row r="60" spans="3:3" x14ac:dyDescent="0.25">
      <c r="C60" s="107"/>
    </row>
    <row r="61" spans="3:3" x14ac:dyDescent="0.25">
      <c r="C61" s="107"/>
    </row>
    <row r="62" spans="3:3" x14ac:dyDescent="0.25">
      <c r="C62" s="107"/>
    </row>
    <row r="63" spans="3:3" x14ac:dyDescent="0.25">
      <c r="C63" s="107"/>
    </row>
    <row r="64" spans="3:3" x14ac:dyDescent="0.25">
      <c r="C64" s="107"/>
    </row>
    <row r="65" spans="2:3" x14ac:dyDescent="0.25">
      <c r="C65" s="107"/>
    </row>
    <row r="66" spans="2:3" x14ac:dyDescent="0.25">
      <c r="C66" s="107"/>
    </row>
    <row r="67" spans="2:3" x14ac:dyDescent="0.25">
      <c r="C67" s="107"/>
    </row>
    <row r="68" spans="2:3" x14ac:dyDescent="0.25">
      <c r="C68" s="107"/>
    </row>
    <row r="69" spans="2:3" x14ac:dyDescent="0.25">
      <c r="C69" s="107"/>
    </row>
    <row r="70" spans="2:3" x14ac:dyDescent="0.25">
      <c r="B70" s="105"/>
      <c r="C70" s="106"/>
    </row>
    <row r="71" spans="2:3" x14ac:dyDescent="0.25">
      <c r="B71" s="105"/>
      <c r="C71" s="106"/>
    </row>
    <row r="72" spans="2:3" x14ac:dyDescent="0.25">
      <c r="B72" s="105"/>
      <c r="C72" s="106"/>
    </row>
    <row r="75" spans="2:3" x14ac:dyDescent="0.25">
      <c r="C75" s="107"/>
    </row>
  </sheetData>
  <hyperlinks>
    <hyperlink ref="B9" r:id="rId1" xr:uid="{F8A7F48E-1A5E-42C6-B603-2B3B820087B4}"/>
  </hyperlinks>
  <pageMargins left="0.7" right="0.7" top="0.75" bottom="0.75" header="0.3" footer="0.3"/>
  <pageSetup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Dashboard</vt:lpstr>
      <vt:lpstr>ProgrammedFundsSummary</vt:lpstr>
      <vt:lpstr>Population Share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Framework Existing Revenue Summary Sheet</dc:title>
  <dc:subject/>
  <dc:creator>Michael Germeraad;rhartofelis@bayareametro.gov</dc:creator>
  <cp:keywords/>
  <dc:description/>
  <cp:lastModifiedBy>Rachael Hartofelis</cp:lastModifiedBy>
  <cp:revision/>
  <dcterms:created xsi:type="dcterms:W3CDTF">2022-07-27T21:46:23Z</dcterms:created>
  <dcterms:modified xsi:type="dcterms:W3CDTF">2023-06-21T13:21:54Z</dcterms:modified>
  <cp:category/>
  <cp:contentStatus/>
</cp:coreProperties>
</file>